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M:\Budget 1920\Final Budget - 2019 20\"/>
    </mc:Choice>
  </mc:AlternateContent>
  <bookViews>
    <workbookView xWindow="0" yWindow="0" windowWidth="19200" windowHeight="9372" firstSheet="1" activeTab="1"/>
  </bookViews>
  <sheets>
    <sheet name="Rollover" sheetId="1" state="hidden" r:id="rId1"/>
    <sheet name="Projects" sheetId="3" r:id="rId2"/>
    <sheet name="SDBIP" sheetId="2" r:id="rId3"/>
  </sheets>
  <definedNames>
    <definedName name="_xlnm.Print_Area" localSheetId="1">Projects!$A$1:$T$98</definedName>
    <definedName name="_xlnm.Print_Area" localSheetId="0">Rollover!$A$1:$N$70</definedName>
    <definedName name="_xlnm.Print_Area" localSheetId="2">SDBIP!$A$1:$H$18</definedName>
    <definedName name="_xlnm.Print_Titles" localSheetId="1">Projects!$3:$5</definedName>
    <definedName name="_xlnm.Print_Titles" localSheetId="0">Rollover!$4:$5</definedName>
  </definedNames>
  <calcPr calcId="152511"/>
</workbook>
</file>

<file path=xl/calcChain.xml><?xml version="1.0" encoding="utf-8"?>
<calcChain xmlns="http://schemas.openxmlformats.org/spreadsheetml/2006/main">
  <c r="G90" i="3" l="1"/>
  <c r="L52" i="3"/>
  <c r="E52" i="3"/>
  <c r="F52" i="3"/>
  <c r="G52" i="3"/>
  <c r="H52" i="3"/>
  <c r="I52" i="3"/>
  <c r="J52" i="3"/>
  <c r="D52" i="3"/>
  <c r="L51" i="3"/>
  <c r="J51" i="3"/>
  <c r="G49" i="3" l="1"/>
  <c r="E12" i="3"/>
  <c r="G94" i="3" l="1"/>
  <c r="D15" i="2" l="1"/>
  <c r="E39" i="3"/>
  <c r="F39" i="3"/>
  <c r="H39" i="3"/>
  <c r="I39" i="3"/>
  <c r="E31" i="3"/>
  <c r="F31" i="3"/>
  <c r="H31" i="3"/>
  <c r="I31" i="3"/>
  <c r="D18" i="3"/>
  <c r="E18" i="3"/>
  <c r="F18" i="3"/>
  <c r="H18" i="3"/>
  <c r="I18" i="3"/>
  <c r="D39" i="3" l="1"/>
  <c r="N37" i="3"/>
  <c r="P37" i="3" s="1"/>
  <c r="J37" i="3"/>
  <c r="L37" i="3"/>
  <c r="N36" i="3"/>
  <c r="P36" i="3" s="1"/>
  <c r="L36" i="3"/>
  <c r="J36" i="3"/>
  <c r="L38" i="3"/>
  <c r="J38" i="3"/>
  <c r="D31" i="3"/>
  <c r="L30" i="3"/>
  <c r="L29" i="3"/>
  <c r="J29" i="3"/>
  <c r="G28" i="3"/>
  <c r="J28" i="3" s="1"/>
  <c r="G26" i="3"/>
  <c r="J26" i="3" s="1"/>
  <c r="G24" i="3"/>
  <c r="G22" i="3"/>
  <c r="L25" i="3"/>
  <c r="J25" i="3"/>
  <c r="L17" i="3"/>
  <c r="J17" i="3"/>
  <c r="G11" i="3"/>
  <c r="J11" i="3" s="1"/>
  <c r="J50" i="3"/>
  <c r="J49" i="3"/>
  <c r="J48" i="3"/>
  <c r="J47" i="3"/>
  <c r="J46" i="3"/>
  <c r="J45" i="3"/>
  <c r="J44" i="3"/>
  <c r="J43" i="3"/>
  <c r="J34" i="3"/>
  <c r="J27" i="3"/>
  <c r="J23" i="3"/>
  <c r="J21" i="3"/>
  <c r="J16" i="3"/>
  <c r="J15" i="3"/>
  <c r="J9" i="3"/>
  <c r="G10" i="3"/>
  <c r="J18" i="3" l="1"/>
  <c r="G18" i="3"/>
  <c r="D13" i="2" s="1"/>
  <c r="J10" i="3"/>
  <c r="J22" i="3"/>
  <c r="G31" i="3"/>
  <c r="D9" i="2" s="1"/>
  <c r="J30" i="3"/>
  <c r="J24" i="3"/>
  <c r="J31" i="3" l="1"/>
  <c r="G35" i="3"/>
  <c r="G39" i="3" s="1"/>
  <c r="D10" i="2" s="1"/>
  <c r="J35" i="3" l="1"/>
  <c r="J39" i="3" s="1"/>
  <c r="F12" i="3"/>
  <c r="G12" i="3"/>
  <c r="D14" i="2" s="1"/>
  <c r="H12" i="3"/>
  <c r="I12" i="3"/>
  <c r="D12" i="3"/>
  <c r="L11" i="3"/>
  <c r="L10" i="3"/>
  <c r="L16" i="3"/>
  <c r="L27" i="3"/>
  <c r="L28" i="3"/>
  <c r="L26" i="3"/>
  <c r="L50" i="3"/>
  <c r="L49" i="3"/>
  <c r="L46" i="3"/>
  <c r="L48" i="3"/>
  <c r="L47" i="3"/>
  <c r="L45" i="3"/>
  <c r="L44" i="3"/>
  <c r="L9" i="3"/>
  <c r="L12" i="3" l="1"/>
  <c r="L23" i="3" l="1"/>
  <c r="L21" i="3"/>
  <c r="L24" i="3" l="1"/>
  <c r="L22" i="3"/>
  <c r="L31" i="3" s="1"/>
  <c r="D78" i="3"/>
  <c r="J86" i="3"/>
  <c r="J82" i="3"/>
  <c r="J78" i="3"/>
  <c r="J66" i="3"/>
  <c r="J62" i="3"/>
  <c r="J12" i="3"/>
  <c r="H86" i="3"/>
  <c r="I86" i="3"/>
  <c r="L86" i="3"/>
  <c r="H82" i="3"/>
  <c r="I82" i="3"/>
  <c r="L82" i="3"/>
  <c r="L66" i="3"/>
  <c r="H78" i="3"/>
  <c r="I78" i="3"/>
  <c r="L78" i="3"/>
  <c r="H66" i="3"/>
  <c r="I66" i="3"/>
  <c r="H62" i="3"/>
  <c r="I62" i="3"/>
  <c r="H58" i="3"/>
  <c r="I58" i="3"/>
  <c r="H88" i="3" l="1"/>
  <c r="I88" i="3"/>
  <c r="L62" i="3" l="1"/>
  <c r="L18" i="3"/>
  <c r="L43" i="3" l="1"/>
  <c r="F78" i="3"/>
  <c r="G56" i="3"/>
  <c r="G55" i="3"/>
  <c r="J55" i="3" l="1"/>
  <c r="D11" i="2"/>
  <c r="J56" i="3"/>
  <c r="D7" i="2"/>
  <c r="L55" i="3"/>
  <c r="L35" i="3"/>
  <c r="L56" i="3"/>
  <c r="L34" i="3"/>
  <c r="L39" i="3" s="1"/>
  <c r="N45" i="3"/>
  <c r="P45" i="3" s="1"/>
  <c r="N44" i="3"/>
  <c r="P44" i="3" s="1"/>
  <c r="N43" i="3"/>
  <c r="N31" i="3"/>
  <c r="N12" i="3"/>
  <c r="N86" i="3"/>
  <c r="M86" i="3"/>
  <c r="N82" i="3"/>
  <c r="M82" i="3"/>
  <c r="M78" i="3"/>
  <c r="N66" i="3"/>
  <c r="M66" i="3"/>
  <c r="N62" i="3"/>
  <c r="M62" i="3"/>
  <c r="M58" i="3"/>
  <c r="M52" i="3"/>
  <c r="M39" i="3"/>
  <c r="M31" i="3"/>
  <c r="N18" i="3"/>
  <c r="M18" i="3"/>
  <c r="M12" i="3"/>
  <c r="Q39" i="3"/>
  <c r="Q12" i="3"/>
  <c r="Q18" i="3"/>
  <c r="Q31" i="3"/>
  <c r="Q52" i="3"/>
  <c r="Q58" i="3"/>
  <c r="Q62" i="3"/>
  <c r="Q66" i="3"/>
  <c r="Q78" i="3"/>
  <c r="Q86" i="3"/>
  <c r="Q82" i="3"/>
  <c r="P43" i="3" l="1"/>
  <c r="M88" i="3"/>
  <c r="Q88" i="3"/>
  <c r="E11" i="2" l="1"/>
  <c r="F15" i="2" l="1"/>
  <c r="F12" i="2"/>
  <c r="F13" i="2"/>
  <c r="E6" i="2" l="1"/>
  <c r="E7" i="2"/>
  <c r="N56" i="3" l="1"/>
  <c r="P56" i="3" s="1"/>
  <c r="N55" i="3"/>
  <c r="P55" i="3" l="1"/>
  <c r="F7" i="2"/>
  <c r="H7" i="2" s="1"/>
  <c r="N74" i="3"/>
  <c r="P74" i="3" s="1"/>
  <c r="N73" i="3"/>
  <c r="P73" i="3" s="1"/>
  <c r="N72" i="3"/>
  <c r="P72" i="3" s="1"/>
  <c r="D74" i="3" l="1"/>
  <c r="D72" i="3"/>
  <c r="D73" i="3"/>
  <c r="N76" i="3"/>
  <c r="P76" i="3" s="1"/>
  <c r="D76" i="3" l="1"/>
  <c r="N71" i="3"/>
  <c r="P71" i="3" s="1"/>
  <c r="D71" i="3" l="1"/>
  <c r="P12" i="3"/>
  <c r="N75" i="3"/>
  <c r="P75" i="3" s="1"/>
  <c r="N70" i="3"/>
  <c r="P70" i="3" s="1"/>
  <c r="N35" i="3"/>
  <c r="P35" i="3" s="1"/>
  <c r="D70" i="3" l="1"/>
  <c r="D75" i="3"/>
  <c r="P18" i="3" l="1"/>
  <c r="P86" i="3" l="1"/>
  <c r="G86" i="3"/>
  <c r="E86" i="3"/>
  <c r="F86" i="3"/>
  <c r="P82" i="3"/>
  <c r="G82" i="3"/>
  <c r="E82" i="3"/>
  <c r="G78" i="3"/>
  <c r="E78" i="3"/>
  <c r="P66" i="3"/>
  <c r="G66" i="3"/>
  <c r="E66" i="3"/>
  <c r="P62" i="3"/>
  <c r="G62" i="3"/>
  <c r="E62" i="3"/>
  <c r="E58" i="3"/>
  <c r="N34" i="3"/>
  <c r="D82" i="3"/>
  <c r="P34" i="3" l="1"/>
  <c r="N39" i="3"/>
  <c r="D86" i="3"/>
  <c r="D62" i="3"/>
  <c r="N69" i="3" l="1"/>
  <c r="F58" i="3"/>
  <c r="F62" i="3"/>
  <c r="F66" i="3"/>
  <c r="N77" i="3"/>
  <c r="P77" i="3" s="1"/>
  <c r="F82" i="3"/>
  <c r="F8" i="1"/>
  <c r="G8" i="1" s="1"/>
  <c r="I8" i="1"/>
  <c r="F9" i="1"/>
  <c r="D9" i="1" s="1"/>
  <c r="I9" i="1"/>
  <c r="H10" i="1"/>
  <c r="J10" i="1"/>
  <c r="E13" i="1"/>
  <c r="F13" i="1"/>
  <c r="G13" i="1"/>
  <c r="I13" i="1"/>
  <c r="I23" i="1" s="1"/>
  <c r="F14" i="1"/>
  <c r="E14" i="1" s="1"/>
  <c r="I14" i="1"/>
  <c r="F15" i="1"/>
  <c r="E15" i="1" s="1"/>
  <c r="I15" i="1"/>
  <c r="F16" i="1"/>
  <c r="E16" i="1" s="1"/>
  <c r="G16" i="1"/>
  <c r="I16" i="1"/>
  <c r="F17" i="1"/>
  <c r="D17" i="1" s="1"/>
  <c r="G17" i="1"/>
  <c r="I17" i="1"/>
  <c r="F18" i="1"/>
  <c r="E18" i="1" s="1"/>
  <c r="G18" i="1"/>
  <c r="I18" i="1"/>
  <c r="D19" i="1"/>
  <c r="G19" i="1"/>
  <c r="I19" i="1"/>
  <c r="F20" i="1"/>
  <c r="E20" i="1" s="1"/>
  <c r="G20" i="1"/>
  <c r="I20" i="1"/>
  <c r="F21" i="1"/>
  <c r="D21" i="1" s="1"/>
  <c r="G21" i="1"/>
  <c r="I21" i="1"/>
  <c r="F22" i="1"/>
  <c r="E22" i="1" s="1"/>
  <c r="G22" i="1"/>
  <c r="I22" i="1"/>
  <c r="H23" i="1"/>
  <c r="J23" i="1"/>
  <c r="D26" i="1"/>
  <c r="G26" i="1"/>
  <c r="G27" i="1" s="1"/>
  <c r="I26" i="1"/>
  <c r="I27" i="1" s="1"/>
  <c r="F27" i="1"/>
  <c r="H27" i="1"/>
  <c r="J27" i="1"/>
  <c r="D30" i="1"/>
  <c r="G30" i="1"/>
  <c r="I30" i="1"/>
  <c r="F31" i="1"/>
  <c r="F33" i="1" s="1"/>
  <c r="H31" i="1"/>
  <c r="D31" i="1" s="1"/>
  <c r="D32" i="1"/>
  <c r="G32" i="1"/>
  <c r="I32" i="1"/>
  <c r="J33" i="1"/>
  <c r="F36" i="1"/>
  <c r="H36" i="1"/>
  <c r="I36" i="1" s="1"/>
  <c r="F37" i="1"/>
  <c r="D37" i="1" s="1"/>
  <c r="I37" i="1"/>
  <c r="F38" i="1"/>
  <c r="G38" i="1" s="1"/>
  <c r="I38" i="1"/>
  <c r="J39" i="1"/>
  <c r="F42" i="1"/>
  <c r="G42" i="1" s="1"/>
  <c r="I42" i="1"/>
  <c r="F43" i="1"/>
  <c r="D43" i="1" s="1"/>
  <c r="I43" i="1"/>
  <c r="F44" i="1"/>
  <c r="H44" i="1"/>
  <c r="E44" i="1" s="1"/>
  <c r="J44" i="1"/>
  <c r="F45" i="1"/>
  <c r="E45" i="1" s="1"/>
  <c r="I45" i="1"/>
  <c r="D46" i="1"/>
  <c r="G46" i="1"/>
  <c r="I46" i="1"/>
  <c r="F50" i="1"/>
  <c r="F51" i="1" s="1"/>
  <c r="I50" i="1"/>
  <c r="H51" i="1"/>
  <c r="I51" i="1"/>
  <c r="J51" i="1"/>
  <c r="F54" i="1"/>
  <c r="H54" i="1"/>
  <c r="J54" i="1"/>
  <c r="D55" i="1"/>
  <c r="F55" i="1"/>
  <c r="G55" i="1" s="1"/>
  <c r="I55" i="1"/>
  <c r="J56" i="1"/>
  <c r="F59" i="1"/>
  <c r="D59" i="1" s="1"/>
  <c r="I59" i="1"/>
  <c r="I60" i="1" s="1"/>
  <c r="H60" i="1"/>
  <c r="J60" i="1"/>
  <c r="D63" i="1"/>
  <c r="F63" i="1"/>
  <c r="G63" i="1" s="1"/>
  <c r="G64" i="1" s="1"/>
  <c r="I63" i="1"/>
  <c r="I64" i="1" s="1"/>
  <c r="H64" i="1"/>
  <c r="J64" i="1"/>
  <c r="F88" i="3" l="1"/>
  <c r="P69" i="3"/>
  <c r="N78" i="3"/>
  <c r="D77" i="3"/>
  <c r="D69" i="3"/>
  <c r="I44" i="1"/>
  <c r="G9" i="1"/>
  <c r="I10" i="1"/>
  <c r="G37" i="1"/>
  <c r="F60" i="1"/>
  <c r="F64" i="1"/>
  <c r="G54" i="1"/>
  <c r="G50" i="1"/>
  <c r="G51" i="1" s="1"/>
  <c r="I31" i="1"/>
  <c r="G15" i="1"/>
  <c r="F56" i="1"/>
  <c r="G56" i="1"/>
  <c r="G14" i="1"/>
  <c r="G23" i="1"/>
  <c r="J47" i="1"/>
  <c r="J66" i="1" s="1"/>
  <c r="F23" i="1"/>
  <c r="H47" i="1"/>
  <c r="G44" i="1"/>
  <c r="H39" i="1"/>
  <c r="G36" i="1"/>
  <c r="G39" i="1" s="1"/>
  <c r="G10" i="1"/>
  <c r="G59" i="1"/>
  <c r="G60" i="1" s="1"/>
  <c r="F39" i="1"/>
  <c r="H56" i="1"/>
  <c r="E50" i="1"/>
  <c r="I39" i="1"/>
  <c r="I47" i="1"/>
  <c r="D36" i="1"/>
  <c r="I54" i="1"/>
  <c r="I56" i="1" s="1"/>
  <c r="G43" i="1"/>
  <c r="I33" i="1"/>
  <c r="O82" i="3"/>
  <c r="O62" i="3"/>
  <c r="F10" i="1"/>
  <c r="G45" i="1"/>
  <c r="E42" i="1"/>
  <c r="H33" i="1"/>
  <c r="G31" i="1"/>
  <c r="G33" i="1" s="1"/>
  <c r="D54" i="1"/>
  <c r="F47" i="1"/>
  <c r="P78" i="3" l="1"/>
  <c r="I66" i="1"/>
  <c r="F69" i="1" s="1"/>
  <c r="O78" i="3"/>
  <c r="O12" i="3"/>
  <c r="F14" i="2" s="1"/>
  <c r="H14" i="2" s="1"/>
  <c r="O39" i="3"/>
  <c r="F66" i="1"/>
  <c r="E66" i="1"/>
  <c r="G66" i="1"/>
  <c r="G47" i="1"/>
  <c r="E88" i="3"/>
  <c r="D66" i="3"/>
  <c r="O18" i="3"/>
  <c r="D66" i="1"/>
  <c r="D67" i="1" s="1"/>
  <c r="H66" i="1"/>
  <c r="F68" i="1" s="1"/>
  <c r="O66" i="3"/>
  <c r="O52" i="3"/>
  <c r="P39" i="3" l="1"/>
  <c r="F10" i="2"/>
  <c r="H10" i="2" s="1"/>
  <c r="P31" i="3"/>
  <c r="F70" i="1"/>
  <c r="O31" i="3"/>
  <c r="E9" i="2" s="1"/>
  <c r="O58" i="3"/>
  <c r="O86" i="3"/>
  <c r="F9" i="2" l="1"/>
  <c r="H9" i="2" s="1"/>
  <c r="O88" i="3"/>
  <c r="E16" i="2" l="1"/>
  <c r="G42" i="3" l="1"/>
  <c r="J42" i="3" l="1"/>
  <c r="G92" i="3"/>
  <c r="D6" i="2"/>
  <c r="D8" i="2"/>
  <c r="F8" i="2" s="1"/>
  <c r="H8" i="2" s="1"/>
  <c r="L42" i="3"/>
  <c r="N42" i="3" l="1"/>
  <c r="F6" i="2"/>
  <c r="H6" i="2" s="1"/>
  <c r="D58" i="3"/>
  <c r="D88" i="3" s="1"/>
  <c r="G57" i="3"/>
  <c r="J57" i="3" s="1"/>
  <c r="J58" i="3" l="1"/>
  <c r="J88" i="3" s="1"/>
  <c r="L57" i="3"/>
  <c r="L58" i="3" s="1"/>
  <c r="L88" i="3" s="1"/>
  <c r="P42" i="3"/>
  <c r="P52" i="3" s="1"/>
  <c r="N52" i="3"/>
  <c r="N57" i="3"/>
  <c r="G58" i="3"/>
  <c r="G88" i="3" s="1"/>
  <c r="G96" i="3" s="1"/>
  <c r="G98" i="3" s="1"/>
  <c r="P57" i="3" l="1"/>
  <c r="P58" i="3" s="1"/>
  <c r="P88" i="3" s="1"/>
  <c r="N58" i="3"/>
  <c r="N88" i="3" s="1"/>
  <c r="F11" i="2"/>
  <c r="H11" i="2" s="1"/>
  <c r="D16" i="2"/>
  <c r="F16" i="2" l="1"/>
  <c r="H16" i="2" s="1"/>
</calcChain>
</file>

<file path=xl/sharedStrings.xml><?xml version="1.0" encoding="utf-8"?>
<sst xmlns="http://schemas.openxmlformats.org/spreadsheetml/2006/main" count="327" uniqueCount="246">
  <si>
    <t>PROJ NO</t>
  </si>
  <si>
    <t>PROJECT NAME</t>
  </si>
  <si>
    <t>REMAINING</t>
  </si>
  <si>
    <t>LAST PMT</t>
  </si>
  <si>
    <t>RESP MAN</t>
  </si>
  <si>
    <t>COMMENTS BY MANAGER</t>
  </si>
  <si>
    <t>MID</t>
  </si>
  <si>
    <t>DISASTER MANAGEMENT</t>
  </si>
  <si>
    <t>MPED</t>
  </si>
  <si>
    <t>LAND</t>
  </si>
  <si>
    <t>MEMO</t>
  </si>
  <si>
    <t>SPORTS,ARTS AND CULTURE</t>
  </si>
  <si>
    <t>TOTAL ROLLOVER</t>
  </si>
  <si>
    <t>MM</t>
  </si>
  <si>
    <t>ACTUAL % SPENT</t>
  </si>
  <si>
    <t>MSDCS</t>
  </si>
  <si>
    <t>DM-08</t>
  </si>
  <si>
    <t>DM-17</t>
  </si>
  <si>
    <t>Signage</t>
  </si>
  <si>
    <t>Integrated Financial Management System</t>
  </si>
  <si>
    <t>CFO</t>
  </si>
  <si>
    <t>ABATTOIR</t>
  </si>
  <si>
    <t>COMMUNITY PARTICIPATION &amp; GOOD GOVERNANCE</t>
  </si>
  <si>
    <t>CO-20</t>
  </si>
  <si>
    <t>Anti-fraud Hotline</t>
  </si>
  <si>
    <t>Co-ordination of Sports, Arts and Culture</t>
  </si>
  <si>
    <t>CAPITAL EXPENDITURE AGAINST SDBIP TARGETS</t>
  </si>
  <si>
    <t>Proj IDP</t>
  </si>
  <si>
    <t>Act Capex</t>
  </si>
  <si>
    <t>% SPENT</t>
  </si>
  <si>
    <t xml:space="preserve">R </t>
  </si>
  <si>
    <t>001</t>
  </si>
  <si>
    <t>002</t>
  </si>
  <si>
    <t>Office of the Municipal Manager</t>
  </si>
  <si>
    <t>003</t>
  </si>
  <si>
    <t>Corporate Support &amp; Shared Services</t>
  </si>
  <si>
    <t>004</t>
  </si>
  <si>
    <t>Planning and Economic Development</t>
  </si>
  <si>
    <t>005</t>
  </si>
  <si>
    <t>Infrastructure Development</t>
  </si>
  <si>
    <t>006</t>
  </si>
  <si>
    <t>Office of the Executive Mayor</t>
  </si>
  <si>
    <t>007</t>
  </si>
  <si>
    <t>Social Development &amp; Community Services</t>
  </si>
  <si>
    <t>008</t>
  </si>
  <si>
    <t>009</t>
  </si>
  <si>
    <t>020</t>
  </si>
  <si>
    <t>Abattoir</t>
  </si>
  <si>
    <t>Total By Vote (Balanced to Cash Flow)</t>
  </si>
  <si>
    <t>Disaster</t>
  </si>
  <si>
    <t>Health</t>
  </si>
  <si>
    <t>Resp Mng</t>
  </si>
  <si>
    <t>Budget &amp; Treasury Office</t>
  </si>
  <si>
    <t>CSSS</t>
  </si>
  <si>
    <t>PROJ YEAR</t>
  </si>
  <si>
    <t>BUDGET AMOUNT</t>
  </si>
  <si>
    <t>Due to:</t>
  </si>
  <si>
    <t>Modimolle &amp; Bela Bela Security Cameras</t>
  </si>
  <si>
    <t>Savings</t>
  </si>
  <si>
    <t>2009 &amp; 2010</t>
  </si>
  <si>
    <t>Feasibility Study of the Wildlife Centre</t>
  </si>
  <si>
    <t>Municipal Environmental Health &amp; Environmental Management</t>
  </si>
  <si>
    <t>MMO</t>
  </si>
  <si>
    <t>ID</t>
  </si>
  <si>
    <t>PED</t>
  </si>
  <si>
    <t>EMO</t>
  </si>
  <si>
    <t>SDCS</t>
  </si>
  <si>
    <t>Incident Management System</t>
  </si>
  <si>
    <t>Disaster Risk Awareness Program</t>
  </si>
  <si>
    <t>Disaster Risk Management Toll Free Number &amp; promotional signage</t>
  </si>
  <si>
    <t>Information management, communication &amp; dissemination system</t>
  </si>
  <si>
    <t>Risk reduction measures for drought</t>
  </si>
  <si>
    <t>Bela Bela Skid Units &amp; Equipment for main fire station, Masakhane, Pienaarsrivier &amp; Rapotokwane</t>
  </si>
  <si>
    <t>Mogalakwena - new Rescue Pumper</t>
  </si>
  <si>
    <t>Upgrading of existing trained volunteers to minimum requirements for full time fire fighters (phase 2)</t>
  </si>
  <si>
    <t>Fire Fighting</t>
  </si>
  <si>
    <t>Local Economic Development &amp; Tourism</t>
  </si>
  <si>
    <t>Municipal Support &amp; Institutional Development</t>
  </si>
  <si>
    <t>Procurement of Movable Assets</t>
  </si>
  <si>
    <t>Performance Management System (PMS)</t>
  </si>
  <si>
    <t>Geographic Information System (GIS)</t>
  </si>
  <si>
    <t>Financial Strategy</t>
  </si>
  <si>
    <t>UE-29</t>
  </si>
  <si>
    <t>UE-34</t>
  </si>
  <si>
    <t>UE-42</t>
  </si>
  <si>
    <t>UE-43</t>
  </si>
  <si>
    <t>CO-24</t>
  </si>
  <si>
    <t>IN-17</t>
  </si>
  <si>
    <t>IN-27</t>
  </si>
  <si>
    <t>SC-07</t>
  </si>
  <si>
    <t>IN-22</t>
  </si>
  <si>
    <t>IN-24</t>
  </si>
  <si>
    <t>BTO</t>
  </si>
  <si>
    <t>Upgrading of the abattoir (phase 2)</t>
  </si>
  <si>
    <t>CBD Development Plan &amp; Implementation (Bela Bela, Modimolle &amp; Mogalakwena)</t>
  </si>
  <si>
    <t>Land</t>
  </si>
  <si>
    <t>Sports, Arts &amp; Culture</t>
  </si>
  <si>
    <t>Electricity</t>
  </si>
  <si>
    <t>SE-05</t>
  </si>
  <si>
    <t>DM-22</t>
  </si>
  <si>
    <t>DM-23</t>
  </si>
  <si>
    <t>DM-24</t>
  </si>
  <si>
    <t>DM-25</t>
  </si>
  <si>
    <t>DM-26</t>
  </si>
  <si>
    <t>DM-27</t>
  </si>
  <si>
    <t>DM-29</t>
  </si>
  <si>
    <t>RS-40</t>
  </si>
  <si>
    <t>IN-34</t>
  </si>
  <si>
    <t>IN-36</t>
  </si>
  <si>
    <t>LA-12</t>
  </si>
  <si>
    <t>PAID P/YEARS</t>
  </si>
  <si>
    <t>SE-13</t>
  </si>
  <si>
    <t>Bela Bela Paving - Radium - 1.3km</t>
  </si>
  <si>
    <t>Completion of Modimolle Ring Road in Phagameng - 1,603km</t>
  </si>
  <si>
    <t>ROADS &amp; STORM WATER</t>
  </si>
  <si>
    <t>RS-21</t>
  </si>
  <si>
    <t>DM-02</t>
  </si>
  <si>
    <t>Early Warning System of Flood lines</t>
  </si>
  <si>
    <t>Air Quality Emissions Inventory</t>
  </si>
  <si>
    <t>08&amp;09</t>
  </si>
  <si>
    <t>Operating</t>
  </si>
  <si>
    <t>Capital</t>
  </si>
  <si>
    <t>Groblersbrug Port of Entry / Tom Burke Satellite Fire Station - Water Trailer &amp; Equipm &amp; Steenbokpan &amp; Bulgerivier Satellite Fire Station - Water Trailer &amp; Equipment &amp; Villages / Witpoort Fire Station - Equipment</t>
  </si>
  <si>
    <t>PROJECT STATUS REPORT - ROLLED OVER PROJECTS</t>
  </si>
  <si>
    <t>RS041</t>
  </si>
  <si>
    <t>Mogalakwena Streets tarring</t>
  </si>
  <si>
    <t>UNSPENT AT 30 JUNE 2011</t>
  </si>
  <si>
    <t>SPENT 11/12 YEAR</t>
  </si>
  <si>
    <t>2010 &amp; 2011</t>
  </si>
  <si>
    <t>District Batho Pele Activities</t>
  </si>
  <si>
    <t>CO011</t>
  </si>
  <si>
    <t>CO012</t>
  </si>
  <si>
    <t>Annexure C</t>
  </si>
  <si>
    <t>Project complete.</t>
  </si>
  <si>
    <t>Project completed.</t>
  </si>
  <si>
    <t>Project completed in June 2011, the remaining funds is for aftercare.</t>
  </si>
  <si>
    <t>TOTAL SPENT UP TO 24 October 2011</t>
  </si>
  <si>
    <t>Savings Oct 2011</t>
  </si>
  <si>
    <t xml:space="preserve">The invoices for the monthly remainder for June, July, August,September,October 2011 has been submitteed for processing </t>
  </si>
  <si>
    <t>Project completed</t>
  </si>
  <si>
    <t>Project complete. The savings will be used for Billboard hire, completed the specifications and ready for notice board and website advert.</t>
  </si>
  <si>
    <t xml:space="preserve">Modimolle Security Cameras installed and operational. Still awaiting Bela Bela Municipality to come on board for installation of cameras in their town. PED sent them a letter requesting their project plan, no response yet. WDM's MM will facilitate a meeting with Bela Bela Municipality's MM to come up with the wayfoward. </t>
  </si>
  <si>
    <t>Contract for the main contractor has been terminated. Sub contractors completing the outstanding works.</t>
  </si>
  <si>
    <t>Lephalale Disaster Centre Environmental Impact Assessment</t>
  </si>
  <si>
    <t>The 50% payment after the 1st site inspection was conducted by Messrs. D M Sithole, T van Deventer and J vander Merwe in the USA, Florida State, Ocala E-ONE Plant. The 4X4 Major Urban Rescue Pumper is 100% complete waiting to be shipped to South Africa.</t>
  </si>
  <si>
    <t xml:space="preserve">Limitted bidding approved by MM for appointing Telkom SA for the development of a Toll Free number. Delays are caused by Telkom. Promotional Signage's re-advert closed on 29 August 2011 , was Evaluated on 06 October 2011 and awaiting to be tabled before the Bid Adjudication Committee (BAC). </t>
  </si>
  <si>
    <t xml:space="preserve">The project is completed. final invoice paid. This includes a 3 years maintanance/support services to be done for the UNITI System by Disaster Management Solutions (DMS) . </t>
  </si>
  <si>
    <t>The Contractor Mr. M W Sebela passed away on 5 October 2011. Thus far 2 Boreholes at Mokopane (Segole &amp; Sodoma)  and 2 Boreholes at Lephalale (Ga-Seleka &amp; Madibaneng) were  completed. They were working on completing the last 2 Boreholes at Thabazimbi (Regorogile) and Mogalakwena (Mapela). Project expiry date was Friday, 07 October 2011, application for 1X month extension period received 3 October was approved by MM before his sudden death. Memo written to MM 19 October 2011 for his further advice and direction in this regard to ensure that this project if fully completed.</t>
  </si>
  <si>
    <t>Invitation was placed on the WDM notice board for the 2X Ultra High Pressure Fire Fighting Skid Units for Lephalale local municipality,  SCM evaluated, but 90Days validity period expired before project was approved. Project has been re-advertised on WDM notice board.</t>
  </si>
  <si>
    <t>The service provider has been appointed to do the training and the shortfall will be defrayed from the MSIG vote and implementation commenced in October 2011.</t>
  </si>
  <si>
    <t>Feasibility Study complete. PED has requested permission from OTP to transfer the remaining savings to Beautification of Vaalwater project, no response yet.</t>
  </si>
  <si>
    <t>Project Completed.  Amount outstanding is for contingencies until snaglist is completed plus 5% retention for 12 months.</t>
  </si>
  <si>
    <t>Project Completed. Amount outstanding is for contingencies until snaglist is completed plus 5% retention for 12 months.</t>
  </si>
  <si>
    <t>Project Completed. Awaiting for last invoice and remaining amount outstanding is for contingencies until snaglist is completed plus protective clothing  plus 5% retention for 12 months.</t>
  </si>
  <si>
    <t>Still awaiting firnal invoices to be submitted by IPM for 10/11 year work done.</t>
  </si>
  <si>
    <t>Appointed Munsoft for supply of the IFMS for WDM, Bela Bela &amp; Thabazimbi following SCM Regulations 32 procurement using the public tender of another organ of state in September &amp; October 2011. Modimolle LM has also appointed Munsoft for their IFMS in June 2011.  Approached Lephalale LM for the next phase of the roll-out, still awaiting confirmation.</t>
  </si>
  <si>
    <t>Project complete. Remaining funds to be transferred to IFMS to procure Disaster Modules for LMs. There is currently a shortfall on IFMS for this purpose.</t>
  </si>
  <si>
    <t>A number of institutions were contacted for specs since municipalities haven't done this yet. Specifications has been sourced, all will be reviewed &amp; combined to our needs. Since the project was recommended by IPM, we will first review whether there is still a need to continue with this project.</t>
  </si>
  <si>
    <t>Waste Management - development of landfill sites - initiation of partnerships</t>
  </si>
  <si>
    <t>Total Budget</t>
  </si>
  <si>
    <t>Variance</t>
  </si>
  <si>
    <t>Water &amp; Sanitation</t>
  </si>
  <si>
    <t>Savings / Transfers</t>
  </si>
  <si>
    <t>ES</t>
  </si>
  <si>
    <t>Transport</t>
  </si>
  <si>
    <t>Expenditure by Vote (department)</t>
  </si>
  <si>
    <t>Road Asset Management System</t>
  </si>
  <si>
    <t>District IDP Public Participation Programme - Executive Mayor</t>
  </si>
  <si>
    <t>District IDP Strategic Planning Programme - Municipal Manager</t>
  </si>
  <si>
    <t>SDBIP forecast versus actual expenditure</t>
  </si>
  <si>
    <t>Date paid</t>
  </si>
  <si>
    <t>Comment</t>
  </si>
  <si>
    <t>Annexure D</t>
  </si>
  <si>
    <t>Projections, including roll overs, have not yet been calculated / approved by Council</t>
  </si>
  <si>
    <t>Coordination of SPLUMA</t>
  </si>
  <si>
    <t>EPWP Project</t>
  </si>
  <si>
    <t>CO037</t>
  </si>
  <si>
    <t>WA001</t>
  </si>
  <si>
    <t>WA002</t>
  </si>
  <si>
    <t>WA003</t>
  </si>
  <si>
    <t>WA005</t>
  </si>
  <si>
    <t>WA007</t>
  </si>
  <si>
    <t>WA008</t>
  </si>
  <si>
    <t>WA0012</t>
  </si>
  <si>
    <t>WA0013</t>
  </si>
  <si>
    <t>WA0014</t>
  </si>
  <si>
    <t>Mabatlane Drill, Test &amp; Equip Boreholes</t>
  </si>
  <si>
    <t>Mabatlane EXT 6 Network  for 300 Erven</t>
  </si>
  <si>
    <t xml:space="preserve">Phagameng Ext 13: install skeleton network for 1300 erven </t>
  </si>
  <si>
    <t>Mabaleng Storage 1.5 MI pressure tower</t>
  </si>
  <si>
    <t>Mookgophong: install valves, PRVs and chambers in existing network</t>
  </si>
  <si>
    <t>Roedtan : Drill &amp;  Equip additional Boreholes and upgrade network</t>
  </si>
  <si>
    <t>Development of groundwater for Thabazimbi and Regorogile</t>
  </si>
  <si>
    <t>Schillpadnek(Smasherblock) Water supply</t>
  </si>
  <si>
    <t>Raphuti/Leeupoort water supply</t>
  </si>
  <si>
    <t xml:space="preserve">  </t>
  </si>
  <si>
    <t>SE013</t>
  </si>
  <si>
    <t>Air quality monitoring</t>
  </si>
  <si>
    <t>ADMS Urban license  etc spartial analyst &amp; training</t>
  </si>
  <si>
    <t>SMME Development</t>
  </si>
  <si>
    <t>Vote No</t>
  </si>
  <si>
    <t>Adjustment</t>
  </si>
  <si>
    <t>Adjusted Budget</t>
  </si>
  <si>
    <t>PAID 17/18 YEAR</t>
  </si>
  <si>
    <t>Local Government Financial Management Grant</t>
  </si>
  <si>
    <t>Training of Ward Committees</t>
  </si>
  <si>
    <t>Wishlist</t>
  </si>
  <si>
    <t>Fleet Management System</t>
  </si>
  <si>
    <t>IT Equipments</t>
  </si>
  <si>
    <t>ANNEXURE 3</t>
  </si>
  <si>
    <t>2019/20 IDP</t>
  </si>
  <si>
    <t>2020/21 IDP</t>
  </si>
  <si>
    <t>Performance Management System</t>
  </si>
  <si>
    <t>ICT Strategy</t>
  </si>
  <si>
    <t>Exchange Software Upgrade</t>
  </si>
  <si>
    <t>Development of Functional GIS</t>
  </si>
  <si>
    <t>Review of SDF</t>
  </si>
  <si>
    <t>Renovation of Bela-Bela Fire Station</t>
  </si>
  <si>
    <t>Ambient Air Quality Monitoring Station</t>
  </si>
  <si>
    <t>Stack Monitoring Equipment</t>
  </si>
  <si>
    <t>Capital IDP Projects</t>
  </si>
  <si>
    <t>Operating IDP Projects</t>
  </si>
  <si>
    <t>Disaster Management: Fire Fighting</t>
  </si>
  <si>
    <t>IDP Project Summary Report - 2019/20 IDP projects and roll overs from prior years</t>
  </si>
  <si>
    <t>2018/19 Roll Over</t>
  </si>
  <si>
    <t>2021/22 IDP</t>
  </si>
  <si>
    <t>Instant Sampling Kits for food and water</t>
  </si>
  <si>
    <t>Review of the Waterberg Disaster and Risk Management Plan</t>
  </si>
  <si>
    <t>Humanitarian Relief Materials</t>
  </si>
  <si>
    <t>Tourism Development</t>
  </si>
  <si>
    <t>Agricultural Development</t>
  </si>
  <si>
    <t>LED Coordination</t>
  </si>
  <si>
    <t>ITP Review</t>
  </si>
  <si>
    <t>Structural Renovations of the Abattoir</t>
  </si>
  <si>
    <t>Abattoir Marketing Campaign</t>
  </si>
  <si>
    <t>Planning, design, documentation, refurbishment and monitoring of WDM</t>
  </si>
  <si>
    <t>Completion of Thabazimbi WWTW</t>
  </si>
  <si>
    <t>Completion of MWIG Cluster 2 Modimolle Local Municipality- Mabaleng storage 1,5 ML Pressure Tower</t>
  </si>
  <si>
    <t>Council Pool Cars - Procurement of Fleet</t>
  </si>
  <si>
    <t>Office Furniture</t>
  </si>
  <si>
    <t xml:space="preserve">FMG </t>
  </si>
  <si>
    <t>RRAMS</t>
  </si>
  <si>
    <t>Total IDP Projects</t>
  </si>
  <si>
    <t>Disaster Recovery Solution</t>
  </si>
  <si>
    <t>Infrastructure</t>
  </si>
  <si>
    <t>Promulgation of By-Laws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</si>
</sst>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 * #,##0.00_ ;_ * \-#,##0.00_ ;_ * &quot;-&quot;??_ ;_ @_ "/>
    <numFmt numFmtId="166" formatCode="0.00;[Red]0.00"/>
    <numFmt numFmtId="167" formatCode="_(* #,##0_);_(* \(#,##0\);_(* &quot;-&quot;??_);_(@_)"/>
    <numFmt numFmtId="168" formatCode="_ * #,##0_ ;_ * \-#,##0_ ;_ * &quot;-&quot;??_ ;_ @_ "/>
  </numFmts>
  <fonts count="46"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0"/>
      <color indexed="10"/>
      <name val="Arial"/>
      <family val="2"/>
    </font>
    <font>
      <b/>
      <sz val="10"/>
      <name val="Arial"/>
      <family val="2"/>
    </font>
    <font>
      <sz val="10"/>
      <name val="Arial"/>
      <family val="2"/>
    </font>
    <font>
      <b/>
      <sz val="10"/>
      <color indexed="8"/>
      <name val="Arial"/>
      <family val="2"/>
    </font>
    <font>
      <b/>
      <sz val="12"/>
      <name val="Arial"/>
      <family val="2"/>
    </font>
    <font>
      <sz val="12"/>
      <name val="Arial"/>
      <family val="2"/>
    </font>
    <font>
      <sz val="12"/>
      <color indexed="8"/>
      <name val="Arial"/>
      <family val="2"/>
    </font>
    <font>
      <sz val="10"/>
      <name val="Arial"/>
      <family val="2"/>
    </font>
    <font>
      <b/>
      <sz val="16"/>
      <name val="Arial"/>
      <family val="2"/>
    </font>
    <font>
      <b/>
      <u/>
      <sz val="12"/>
      <name val="Arial"/>
      <family val="2"/>
    </font>
    <font>
      <u/>
      <sz val="12"/>
      <name val="Arial"/>
      <family val="2"/>
    </font>
    <font>
      <sz val="10"/>
      <name val="Arial"/>
      <family val="2"/>
    </font>
    <font>
      <b/>
      <sz val="12"/>
      <color indexed="8"/>
      <name val="Arial"/>
      <family val="2"/>
    </font>
    <font>
      <sz val="10"/>
      <name val="Arial"/>
      <family val="2"/>
    </font>
    <font>
      <b/>
      <sz val="14"/>
      <name val="Arial"/>
      <family val="2"/>
    </font>
    <font>
      <sz val="10"/>
      <name val="Arial"/>
      <family val="2"/>
    </font>
    <font>
      <u/>
      <sz val="10"/>
      <color theme="10"/>
      <name val="Arial"/>
      <family val="2"/>
    </font>
    <font>
      <sz val="10"/>
      <color rgb="FFFF0000"/>
      <name val="Arial"/>
      <family val="2"/>
    </font>
    <font>
      <b/>
      <sz val="10"/>
      <color rgb="FFFF0000"/>
      <name val="Arial"/>
      <family val="2"/>
    </font>
    <font>
      <sz val="12"/>
      <color rgb="FFFF0000"/>
      <name val="Arial"/>
      <family val="2"/>
    </font>
    <font>
      <b/>
      <sz val="20"/>
      <name val="Arial"/>
      <family val="2"/>
    </font>
    <font>
      <b/>
      <sz val="16"/>
      <color theme="1"/>
      <name val="Arial"/>
      <family val="2"/>
    </font>
    <font>
      <b/>
      <sz val="12"/>
      <color rgb="FFFF0000"/>
      <name val="Arial"/>
      <family val="2"/>
    </font>
    <font>
      <b/>
      <sz val="12"/>
      <color indexed="8"/>
      <name val="Arial Narrow"/>
      <family val="2"/>
    </font>
    <font>
      <sz val="12"/>
      <color theme="1"/>
      <name val="Arial"/>
      <family val="2"/>
    </font>
    <font>
      <b/>
      <sz val="12"/>
      <color theme="1"/>
      <name val="Arial"/>
      <family val="2"/>
    </font>
  </fonts>
  <fills count="3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64"/>
      </patternFill>
    </fill>
    <fill>
      <patternFill patternType="solid">
        <fgColor rgb="FFFFFF00"/>
        <bgColor indexed="64"/>
      </patternFill>
    </fill>
    <fill>
      <patternFill patternType="solid">
        <fgColor rgb="FFFFCCFF"/>
        <bgColor indexed="64"/>
      </patternFill>
    </fill>
    <fill>
      <patternFill patternType="solid">
        <fgColor theme="0"/>
        <bgColor indexed="64"/>
      </patternFill>
    </fill>
    <fill>
      <patternFill patternType="solid">
        <fgColor theme="3" tint="0.79998168889431442"/>
        <bgColor indexed="64"/>
      </patternFill>
    </fill>
    <fill>
      <patternFill patternType="solid">
        <fgColor rgb="FFFFC000"/>
        <bgColor indexed="64"/>
      </patternFill>
    </fill>
    <fill>
      <patternFill patternType="solid">
        <fgColor theme="4" tint="0.39997558519241921"/>
        <bgColor indexed="64"/>
      </patternFill>
    </fill>
    <fill>
      <patternFill patternType="solid">
        <fgColor rgb="FF5B9BD5"/>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23"/>
      </top>
      <bottom/>
      <diagonal/>
    </border>
    <border>
      <left/>
      <right style="double">
        <color indexed="23"/>
      </right>
      <top style="double">
        <color indexed="23"/>
      </top>
      <bottom/>
      <diagonal/>
    </border>
    <border>
      <left style="double">
        <color indexed="23"/>
      </left>
      <right/>
      <top/>
      <bottom style="double">
        <color indexed="23"/>
      </bottom>
      <diagonal/>
    </border>
    <border>
      <left/>
      <right/>
      <top/>
      <bottom style="double">
        <color indexed="23"/>
      </bottom>
      <diagonal/>
    </border>
    <border>
      <left/>
      <right style="double">
        <color indexed="23"/>
      </right>
      <top/>
      <bottom style="double">
        <color indexed="23"/>
      </bottom>
      <diagonal/>
    </border>
    <border>
      <left style="double">
        <color indexed="23"/>
      </left>
      <right/>
      <top style="double">
        <color indexed="23"/>
      </top>
      <bottom/>
      <diagonal/>
    </border>
    <border>
      <left style="double">
        <color indexed="23"/>
      </left>
      <right style="double">
        <color indexed="23"/>
      </right>
      <top style="double">
        <color indexed="23"/>
      </top>
      <bottom style="double">
        <color indexed="23"/>
      </bottom>
      <diagonal/>
    </border>
    <border>
      <left style="double">
        <color indexed="23"/>
      </left>
      <right style="double">
        <color indexed="23"/>
      </right>
      <top/>
      <bottom style="double">
        <color indexed="23"/>
      </bottom>
      <diagonal/>
    </border>
    <border>
      <left style="double">
        <color indexed="23"/>
      </left>
      <right/>
      <top style="double">
        <color indexed="23"/>
      </top>
      <bottom style="double">
        <color indexed="23"/>
      </bottom>
      <diagonal/>
    </border>
    <border>
      <left/>
      <right style="double">
        <color indexed="23"/>
      </right>
      <top style="double">
        <color indexed="23"/>
      </top>
      <bottom style="double">
        <color indexed="23"/>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bottom style="thin">
        <color indexed="64"/>
      </bottom>
      <diagonal/>
    </border>
    <border>
      <left/>
      <right/>
      <top style="thin">
        <color indexed="8"/>
      </top>
      <bottom/>
      <diagonal/>
    </border>
    <border>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8"/>
      </left>
      <right/>
      <top style="thin">
        <color indexed="8"/>
      </top>
      <bottom/>
      <diagonal/>
    </border>
    <border>
      <left style="thin">
        <color indexed="8"/>
      </left>
      <right/>
      <top style="thin">
        <color indexed="8"/>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indexed="23"/>
      </left>
      <right style="double">
        <color indexed="23"/>
      </right>
      <top style="double">
        <color indexed="23"/>
      </top>
      <bottom/>
      <diagonal/>
    </border>
    <border>
      <left style="double">
        <color indexed="23"/>
      </left>
      <right style="double">
        <color indexed="23"/>
      </right>
      <top/>
      <bottom/>
      <diagonal/>
    </border>
    <border>
      <left/>
      <right style="thin">
        <color indexed="64"/>
      </right>
      <top style="thin">
        <color indexed="64"/>
      </top>
      <bottom/>
      <diagonal/>
    </border>
    <border>
      <left/>
      <right style="thin">
        <color indexed="8"/>
      </right>
      <top/>
      <bottom/>
      <diagonal/>
    </border>
    <border>
      <left/>
      <right style="thin">
        <color indexed="64"/>
      </right>
      <top/>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8"/>
      </left>
      <right style="thin">
        <color indexed="8"/>
      </right>
      <top style="thin">
        <color indexed="64"/>
      </top>
      <bottom style="medium">
        <color indexed="64"/>
      </bottom>
      <diagonal/>
    </border>
    <border>
      <left style="thin">
        <color indexed="8"/>
      </left>
      <right/>
      <top/>
      <bottom style="thin">
        <color indexed="8"/>
      </bottom>
      <diagonal/>
    </border>
    <border>
      <left/>
      <right style="thin">
        <color indexed="8"/>
      </right>
      <top style="thin">
        <color indexed="64"/>
      </top>
      <bottom style="medium">
        <color indexed="64"/>
      </bottom>
      <diagonal/>
    </border>
    <border>
      <left style="thin">
        <color indexed="8"/>
      </left>
      <right style="thin">
        <color indexed="8"/>
      </right>
      <top/>
      <bottom/>
      <diagonal/>
    </border>
    <border>
      <left style="thin">
        <color indexed="64"/>
      </left>
      <right/>
      <top/>
      <bottom/>
      <diagonal/>
    </border>
    <border>
      <left style="thin">
        <color indexed="8"/>
      </left>
      <right/>
      <top/>
      <bottom/>
      <diagonal/>
    </border>
    <border>
      <left style="thin">
        <color indexed="8"/>
      </left>
      <right style="thin">
        <color indexed="8"/>
      </right>
      <top style="thin">
        <color indexed="8"/>
      </top>
      <bottom style="thin">
        <color indexed="64"/>
      </bottom>
      <diagonal/>
    </border>
    <border>
      <left style="thin">
        <color indexed="8"/>
      </left>
      <right style="thin">
        <color indexed="8"/>
      </right>
      <top/>
      <bottom style="medium">
        <color indexed="64"/>
      </bottom>
      <diagonal/>
    </border>
    <border>
      <left/>
      <right/>
      <top style="thin">
        <color indexed="64"/>
      </top>
      <bottom style="double">
        <color indexed="64"/>
      </bottom>
      <diagonal/>
    </border>
  </borders>
  <cellStyleXfs count="90">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165" fontId="1" fillId="0" borderId="0" applyFill="0" applyBorder="0" applyAlignment="0" applyProtection="0"/>
    <xf numFmtId="165" fontId="35" fillId="0" borderId="0" applyFill="0" applyBorder="0" applyAlignment="0" applyProtection="0"/>
    <xf numFmtId="165" fontId="22" fillId="0" borderId="0" applyFill="0" applyBorder="0" applyAlignment="0" applyProtection="0"/>
    <xf numFmtId="0" fontId="22" fillId="0" borderId="0" applyFont="0" applyFill="0" applyBorder="0" applyAlignment="0" applyProtection="0"/>
    <xf numFmtId="165" fontId="31" fillId="0" borderId="0" applyFill="0" applyBorder="0" applyAlignment="0" applyProtection="0"/>
    <xf numFmtId="165" fontId="22" fillId="0" borderId="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5" fontId="22" fillId="0" borderId="0" applyFont="0" applyFill="0" applyBorder="0" applyAlignment="0" applyProtection="0"/>
    <xf numFmtId="166" fontId="22"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alignment vertical="top"/>
      <protection locked="0"/>
    </xf>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2" fillId="0" borderId="0"/>
    <xf numFmtId="0" fontId="22" fillId="0" borderId="0"/>
    <xf numFmtId="0" fontId="27"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22" fillId="23" borderId="7" applyNumberFormat="0" applyAlignment="0" applyProtection="0"/>
    <xf numFmtId="0" fontId="15" fillId="20" borderId="8" applyNumberFormat="0" applyAlignment="0" applyProtection="0"/>
    <xf numFmtId="9" fontId="27" fillId="0" borderId="0" applyFill="0" applyBorder="0" applyAlignment="0" applyProtection="0"/>
    <xf numFmtId="9" fontId="22" fillId="0" borderId="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165" fontId="1" fillId="0" borderId="0" applyFill="0" applyBorder="0" applyAlignment="0" applyProtection="0"/>
  </cellStyleXfs>
  <cellXfs count="475">
    <xf numFmtId="0" fontId="0" fillId="0" borderId="0" xfId="0"/>
    <xf numFmtId="0" fontId="0" fillId="0" borderId="0" xfId="0" applyAlignment="1">
      <alignment vertical="center"/>
    </xf>
    <xf numFmtId="0" fontId="20" fillId="0" borderId="0" xfId="0" applyFont="1" applyBorder="1" applyAlignment="1">
      <alignment vertical="center"/>
    </xf>
    <xf numFmtId="0" fontId="19" fillId="0" borderId="0" xfId="0" applyFont="1" applyFill="1" applyBorder="1" applyAlignment="1">
      <alignment vertical="center"/>
    </xf>
    <xf numFmtId="0" fontId="21" fillId="0" borderId="0" xfId="0" applyFont="1" applyFill="1" applyBorder="1" applyAlignment="1">
      <alignment horizontal="center" vertical="center"/>
    </xf>
    <xf numFmtId="0" fontId="19" fillId="0" borderId="0" xfId="0" applyFont="1" applyBorder="1" applyAlignment="1">
      <alignment vertical="center" wrapText="1"/>
    </xf>
    <xf numFmtId="0" fontId="0" fillId="0" borderId="0" xfId="0" applyBorder="1" applyAlignment="1">
      <alignment vertical="center" wrapText="1"/>
    </xf>
    <xf numFmtId="0" fontId="0" fillId="0" borderId="0" xfId="0" applyBorder="1" applyAlignment="1">
      <alignment vertical="center"/>
    </xf>
    <xf numFmtId="49" fontId="25" fillId="0" borderId="16" xfId="57" applyNumberFormat="1" applyFont="1" applyFill="1" applyBorder="1" applyAlignment="1">
      <alignment vertical="center"/>
    </xf>
    <xf numFmtId="0" fontId="25" fillId="0" borderId="18" xfId="57" applyFont="1" applyFill="1" applyBorder="1" applyAlignment="1">
      <alignment horizontal="center" vertical="center" wrapText="1"/>
    </xf>
    <xf numFmtId="0" fontId="25" fillId="0" borderId="19" xfId="57" applyFont="1" applyFill="1" applyBorder="1" applyAlignment="1">
      <alignment horizontal="center" vertical="center" wrapText="1"/>
    </xf>
    <xf numFmtId="3" fontId="25" fillId="0" borderId="16" xfId="57" applyNumberFormat="1" applyFont="1" applyFill="1" applyBorder="1" applyAlignment="1">
      <alignment horizontal="right" vertical="center"/>
    </xf>
    <xf numFmtId="3" fontId="30" fillId="0" borderId="16" xfId="57" applyNumberFormat="1" applyFont="1" applyFill="1" applyBorder="1" applyAlignment="1">
      <alignment horizontal="center" vertical="center"/>
    </xf>
    <xf numFmtId="0" fontId="25" fillId="0" borderId="18" xfId="57" applyFont="1" applyFill="1" applyBorder="1" applyAlignment="1">
      <alignment horizontal="left" vertical="center" wrapText="1"/>
    </xf>
    <xf numFmtId="0" fontId="25" fillId="0" borderId="19" xfId="57" applyFont="1" applyFill="1" applyBorder="1" applyAlignment="1">
      <alignment horizontal="left" vertical="center" wrapText="1"/>
    </xf>
    <xf numFmtId="3" fontId="25" fillId="0" borderId="16" xfId="57" applyNumberFormat="1" applyFont="1" applyFill="1" applyBorder="1" applyAlignment="1">
      <alignment horizontal="center" vertical="center"/>
    </xf>
    <xf numFmtId="49" fontId="24" fillId="0" borderId="16" xfId="57" applyNumberFormat="1" applyFont="1" applyFill="1" applyBorder="1" applyAlignment="1">
      <alignment vertical="center"/>
    </xf>
    <xf numFmtId="0" fontId="22" fillId="0" borderId="0" xfId="0" applyFont="1" applyBorder="1" applyAlignment="1">
      <alignment vertical="center" wrapText="1"/>
    </xf>
    <xf numFmtId="0" fontId="22" fillId="0" borderId="0" xfId="0" applyFont="1" applyBorder="1" applyAlignment="1">
      <alignment vertical="center"/>
    </xf>
    <xf numFmtId="0" fontId="0" fillId="0" borderId="0" xfId="0" applyBorder="1" applyAlignment="1">
      <alignment horizontal="center" vertical="center"/>
    </xf>
    <xf numFmtId="0" fontId="19" fillId="0" borderId="0" xfId="0" applyFont="1" applyBorder="1" applyAlignment="1">
      <alignment vertical="center"/>
    </xf>
    <xf numFmtId="0" fontId="20"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22" fillId="0" borderId="0" xfId="0" applyFont="1" applyFill="1" applyBorder="1" applyAlignment="1">
      <alignment vertical="center" wrapText="1"/>
    </xf>
    <xf numFmtId="0" fontId="22" fillId="0" borderId="0" xfId="0" applyFont="1" applyFill="1" applyBorder="1" applyAlignment="1">
      <alignment vertical="center"/>
    </xf>
    <xf numFmtId="0" fontId="22" fillId="0" borderId="20" xfId="57" applyFont="1" applyBorder="1" applyAlignment="1">
      <alignment vertical="center"/>
    </xf>
    <xf numFmtId="0" fontId="22" fillId="0" borderId="20" xfId="57" applyFont="1" applyBorder="1" applyAlignment="1">
      <alignment horizontal="center" vertical="center"/>
    </xf>
    <xf numFmtId="0" fontId="21" fillId="0" borderId="20" xfId="57" applyFont="1" applyBorder="1" applyAlignment="1">
      <alignment horizontal="center" vertical="center"/>
    </xf>
    <xf numFmtId="0" fontId="23" fillId="0" borderId="21" xfId="57" applyFont="1" applyBorder="1" applyAlignment="1">
      <alignment horizontal="center" vertical="center" wrapText="1"/>
    </xf>
    <xf numFmtId="0" fontId="21" fillId="0" borderId="0" xfId="57" applyFont="1" applyFill="1" applyBorder="1" applyAlignment="1">
      <alignment horizontal="center" vertical="center"/>
    </xf>
    <xf numFmtId="0" fontId="21" fillId="0" borderId="20" xfId="57" applyFont="1" applyBorder="1" applyAlignment="1">
      <alignment vertical="center"/>
    </xf>
    <xf numFmtId="0" fontId="22" fillId="0" borderId="20" xfId="57" applyFont="1" applyBorder="1" applyAlignment="1">
      <alignment vertical="center" wrapText="1"/>
    </xf>
    <xf numFmtId="0" fontId="19" fillId="0" borderId="21" xfId="57" applyFont="1" applyBorder="1" applyAlignment="1">
      <alignment horizontal="left" vertical="center" wrapText="1"/>
    </xf>
    <xf numFmtId="0" fontId="19" fillId="0" borderId="21" xfId="57" applyFont="1" applyBorder="1" applyAlignment="1">
      <alignment vertical="center" wrapText="1"/>
    </xf>
    <xf numFmtId="0" fontId="19" fillId="0" borderId="0" xfId="57" applyFont="1" applyFill="1" applyBorder="1" applyAlignment="1">
      <alignment vertical="center" wrapText="1"/>
    </xf>
    <xf numFmtId="0" fontId="19" fillId="0" borderId="22" xfId="57" applyFont="1" applyBorder="1" applyAlignment="1">
      <alignment horizontal="left" vertical="center" wrapText="1"/>
    </xf>
    <xf numFmtId="0" fontId="22" fillId="0" borderId="20" xfId="0" applyFont="1" applyFill="1" applyBorder="1" applyAlignment="1">
      <alignment vertical="center"/>
    </xf>
    <xf numFmtId="0" fontId="19" fillId="0" borderId="22" xfId="57" applyFont="1" applyFill="1" applyBorder="1" applyAlignment="1">
      <alignment horizontal="left" vertical="center" wrapText="1"/>
    </xf>
    <xf numFmtId="0" fontId="22" fillId="0" borderId="0" xfId="57" applyBorder="1" applyAlignment="1">
      <alignment vertical="center"/>
    </xf>
    <xf numFmtId="0" fontId="22" fillId="0" borderId="20" xfId="57" applyBorder="1" applyAlignment="1">
      <alignment horizontal="center" vertical="center"/>
    </xf>
    <xf numFmtId="0" fontId="19" fillId="0" borderId="23" xfId="57" applyFont="1" applyFill="1" applyBorder="1" applyAlignment="1">
      <alignment horizontal="center" vertical="center" wrapText="1"/>
    </xf>
    <xf numFmtId="0" fontId="19" fillId="0" borderId="21" xfId="57" applyFont="1" applyBorder="1" applyAlignment="1">
      <alignment horizontal="center" vertical="center" wrapText="1"/>
    </xf>
    <xf numFmtId="0" fontId="19" fillId="0" borderId="21" xfId="57" applyFont="1" applyFill="1" applyBorder="1" applyAlignment="1">
      <alignment horizontal="center" vertical="center" wrapText="1"/>
    </xf>
    <xf numFmtId="0" fontId="19" fillId="0" borderId="23" xfId="57" applyFont="1" applyBorder="1" applyAlignment="1">
      <alignment horizontal="center" vertical="center" wrapText="1"/>
    </xf>
    <xf numFmtId="0" fontId="22" fillId="0" borderId="20" xfId="57" applyFont="1" applyFill="1" applyBorder="1" applyAlignment="1">
      <alignment horizontal="center" vertical="center"/>
    </xf>
    <xf numFmtId="0" fontId="22" fillId="0" borderId="20" xfId="57" applyBorder="1" applyAlignment="1">
      <alignment vertical="center"/>
    </xf>
    <xf numFmtId="0" fontId="22" fillId="0" borderId="20" xfId="57" applyNumberFormat="1" applyBorder="1" applyAlignment="1">
      <alignment horizontal="center" vertical="center"/>
    </xf>
    <xf numFmtId="168" fontId="22" fillId="0" borderId="20" xfId="28" applyNumberFormat="1" applyFont="1" applyBorder="1" applyAlignment="1">
      <alignment vertical="center"/>
    </xf>
    <xf numFmtId="168" fontId="22" fillId="0" borderId="20" xfId="28" applyNumberFormat="1" applyFont="1" applyFill="1" applyBorder="1" applyAlignment="1">
      <alignment vertical="center"/>
    </xf>
    <xf numFmtId="168" fontId="21" fillId="0" borderId="20" xfId="28" applyNumberFormat="1" applyFont="1" applyFill="1" applyBorder="1" applyAlignment="1">
      <alignment vertical="center"/>
    </xf>
    <xf numFmtId="3" fontId="21" fillId="0" borderId="20" xfId="57" applyNumberFormat="1" applyFont="1" applyFill="1" applyBorder="1" applyAlignment="1">
      <alignment vertical="center"/>
    </xf>
    <xf numFmtId="0" fontId="22" fillId="0" borderId="20" xfId="0" applyFont="1" applyFill="1" applyBorder="1" applyAlignment="1">
      <alignment horizontal="center" vertical="center"/>
    </xf>
    <xf numFmtId="0" fontId="22" fillId="0" borderId="24" xfId="57" applyFill="1" applyBorder="1" applyAlignment="1">
      <alignment horizontal="center" vertical="center"/>
    </xf>
    <xf numFmtId="0" fontId="22" fillId="0" borderId="26" xfId="57" applyNumberFormat="1" applyBorder="1" applyAlignment="1">
      <alignment horizontal="center" vertical="center"/>
    </xf>
    <xf numFmtId="0" fontId="22" fillId="0" borderId="27" xfId="57" applyFont="1" applyBorder="1" applyAlignment="1">
      <alignment vertical="center"/>
    </xf>
    <xf numFmtId="0" fontId="22" fillId="0" borderId="20" xfId="57" applyFont="1" applyFill="1" applyBorder="1" applyAlignment="1">
      <alignment vertical="center" wrapText="1"/>
    </xf>
    <xf numFmtId="15" fontId="19" fillId="0" borderId="20" xfId="0" applyNumberFormat="1" applyFont="1" applyFill="1" applyBorder="1" applyAlignment="1">
      <alignment vertical="center"/>
    </xf>
    <xf numFmtId="0" fontId="22" fillId="0" borderId="20" xfId="0" applyFont="1" applyFill="1" applyBorder="1" applyAlignment="1">
      <alignment vertical="center" wrapText="1"/>
    </xf>
    <xf numFmtId="0" fontId="22" fillId="0" borderId="0" xfId="57" applyFill="1" applyBorder="1" applyAlignment="1">
      <alignment vertical="center"/>
    </xf>
    <xf numFmtId="0" fontId="22" fillId="0" borderId="0" xfId="57" applyBorder="1" applyAlignment="1">
      <alignment horizontal="center" vertical="center"/>
    </xf>
    <xf numFmtId="168" fontId="37" fillId="0" borderId="0" xfId="28" applyNumberFormat="1" applyFont="1" applyFill="1" applyBorder="1" applyAlignment="1">
      <alignment vertical="center"/>
    </xf>
    <xf numFmtId="0" fontId="22" fillId="0" borderId="0" xfId="57" applyFont="1" applyFill="1" applyBorder="1" applyAlignment="1">
      <alignment vertical="center"/>
    </xf>
    <xf numFmtId="0" fontId="22" fillId="0" borderId="0" xfId="57" applyFill="1" applyBorder="1" applyAlignment="1">
      <alignment horizontal="center" vertical="center"/>
    </xf>
    <xf numFmtId="0" fontId="22" fillId="0" borderId="0" xfId="0" applyFont="1" applyFill="1" applyBorder="1" applyAlignment="1">
      <alignment horizontal="center" vertical="center"/>
    </xf>
    <xf numFmtId="0" fontId="0" fillId="0" borderId="0" xfId="0" applyFill="1" applyBorder="1" applyAlignment="1">
      <alignment vertical="center"/>
    </xf>
    <xf numFmtId="15" fontId="21" fillId="0" borderId="0" xfId="0" applyNumberFormat="1" applyFont="1" applyFill="1" applyBorder="1" applyAlignment="1">
      <alignment horizontal="center" vertical="center"/>
    </xf>
    <xf numFmtId="0" fontId="21" fillId="0" borderId="20"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0" fillId="0" borderId="0" xfId="0" applyFill="1" applyBorder="1" applyAlignment="1">
      <alignment horizontal="center" vertical="center" wrapText="1"/>
    </xf>
    <xf numFmtId="4" fontId="22" fillId="0" borderId="29" xfId="0" applyNumberFormat="1" applyFont="1" applyFill="1" applyBorder="1" applyAlignment="1">
      <alignment vertical="center"/>
    </xf>
    <xf numFmtId="4" fontId="19" fillId="0" borderId="20" xfId="0" applyNumberFormat="1" applyFont="1" applyFill="1" applyBorder="1" applyAlignment="1">
      <alignment vertical="center"/>
    </xf>
    <xf numFmtId="15" fontId="21" fillId="0" borderId="20" xfId="0" applyNumberFormat="1" applyFont="1" applyFill="1" applyBorder="1" applyAlignment="1">
      <alignment horizontal="center" vertical="center"/>
    </xf>
    <xf numFmtId="0" fontId="0" fillId="0" borderId="20" xfId="0" applyBorder="1" applyAlignment="1">
      <alignment horizontal="center" vertical="center"/>
    </xf>
    <xf numFmtId="0" fontId="21" fillId="0" borderId="20" xfId="0" applyFont="1" applyBorder="1" applyAlignment="1">
      <alignment vertical="center"/>
    </xf>
    <xf numFmtId="4" fontId="23" fillId="0" borderId="29" xfId="0" applyNumberFormat="1" applyFont="1" applyFill="1" applyBorder="1" applyAlignment="1">
      <alignment vertical="center"/>
    </xf>
    <xf numFmtId="15" fontId="22" fillId="0" borderId="20" xfId="0" applyNumberFormat="1" applyFont="1" applyFill="1" applyBorder="1" applyAlignment="1">
      <alignment horizontal="left" vertical="center" wrapText="1"/>
    </xf>
    <xf numFmtId="168" fontId="22" fillId="0" borderId="29" xfId="28" applyNumberFormat="1" applyFont="1" applyFill="1" applyBorder="1" applyAlignment="1">
      <alignment vertical="center"/>
    </xf>
    <xf numFmtId="168" fontId="21" fillId="0" borderId="29" xfId="28" applyNumberFormat="1" applyFont="1" applyFill="1" applyBorder="1" applyAlignment="1">
      <alignment vertical="center"/>
    </xf>
    <xf numFmtId="0" fontId="21" fillId="0" borderId="20" xfId="0" applyFont="1" applyFill="1" applyBorder="1" applyAlignment="1">
      <alignment vertical="center"/>
    </xf>
    <xf numFmtId="0" fontId="22" fillId="0" borderId="20" xfId="0" applyFont="1" applyBorder="1" applyAlignment="1">
      <alignment horizontal="center" vertical="center"/>
    </xf>
    <xf numFmtId="0" fontId="23" fillId="0" borderId="22" xfId="57" applyFont="1" applyFill="1" applyBorder="1" applyAlignment="1">
      <alignment horizontal="center" vertical="center" wrapText="1"/>
    </xf>
    <xf numFmtId="0" fontId="22" fillId="0" borderId="20" xfId="0" applyFont="1" applyBorder="1" applyAlignment="1">
      <alignment vertical="center"/>
    </xf>
    <xf numFmtId="15" fontId="21" fillId="0" borderId="20" xfId="0" applyNumberFormat="1" applyFont="1" applyFill="1" applyBorder="1" applyAlignment="1">
      <alignment horizontal="center" vertical="center" wrapText="1"/>
    </xf>
    <xf numFmtId="4" fontId="0" fillId="0" borderId="29" xfId="0" applyNumberFormat="1" applyFill="1" applyBorder="1" applyAlignment="1">
      <alignment vertical="center"/>
    </xf>
    <xf numFmtId="0" fontId="21" fillId="0" borderId="20" xfId="0" applyFont="1" applyFill="1" applyBorder="1" applyAlignment="1">
      <alignment horizontal="center" vertical="center"/>
    </xf>
    <xf numFmtId="166" fontId="21" fillId="0" borderId="20" xfId="0" applyNumberFormat="1" applyFont="1" applyFill="1" applyBorder="1" applyAlignment="1">
      <alignment horizontal="center" vertical="center"/>
    </xf>
    <xf numFmtId="0" fontId="21" fillId="0" borderId="20" xfId="0" applyFont="1" applyFill="1" applyBorder="1" applyAlignment="1">
      <alignment vertical="center" wrapText="1"/>
    </xf>
    <xf numFmtId="0" fontId="24" fillId="0" borderId="0" xfId="0" applyFont="1" applyFill="1" applyBorder="1" applyAlignment="1">
      <alignment vertical="center"/>
    </xf>
    <xf numFmtId="0" fontId="21" fillId="0" borderId="0" xfId="0" applyFont="1" applyFill="1" applyBorder="1" applyAlignment="1">
      <alignment vertical="center"/>
    </xf>
    <xf numFmtId="168" fontId="21" fillId="0" borderId="0" xfId="28" applyNumberFormat="1" applyFont="1" applyFill="1" applyBorder="1" applyAlignment="1">
      <alignment vertical="center"/>
    </xf>
    <xf numFmtId="10" fontId="21" fillId="0" borderId="0" xfId="0" applyNumberFormat="1" applyFont="1" applyFill="1" applyBorder="1" applyAlignment="1">
      <alignment horizontal="center" vertical="center"/>
    </xf>
    <xf numFmtId="166" fontId="21" fillId="0" borderId="0" xfId="0" applyNumberFormat="1" applyFont="1" applyFill="1" applyBorder="1" applyAlignment="1">
      <alignment horizontal="center" vertical="center"/>
    </xf>
    <xf numFmtId="0" fontId="21" fillId="0" borderId="0" xfId="0" applyFont="1" applyFill="1" applyBorder="1" applyAlignment="1">
      <alignment vertical="center" wrapText="1"/>
    </xf>
    <xf numFmtId="0" fontId="37" fillId="0" borderId="0" xfId="0" applyFont="1" applyFill="1" applyBorder="1" applyAlignment="1">
      <alignment vertical="center"/>
    </xf>
    <xf numFmtId="168" fontId="37" fillId="0" borderId="0" xfId="28" applyNumberFormat="1" applyFont="1" applyFill="1" applyBorder="1" applyAlignment="1">
      <alignment horizontal="center" vertical="center"/>
    </xf>
    <xf numFmtId="0" fontId="23" fillId="0" borderId="0" xfId="0" applyFont="1" applyFill="1" applyBorder="1" applyAlignment="1">
      <alignment vertical="center"/>
    </xf>
    <xf numFmtId="10" fontId="21" fillId="0" borderId="0" xfId="84" applyNumberFormat="1" applyFont="1" applyFill="1" applyBorder="1" applyAlignment="1" applyProtection="1">
      <alignment vertical="center"/>
    </xf>
    <xf numFmtId="3" fontId="22" fillId="0" borderId="0" xfId="0" applyNumberFormat="1" applyFont="1" applyFill="1" applyBorder="1" applyAlignment="1">
      <alignment vertical="center"/>
    </xf>
    <xf numFmtId="10" fontId="22" fillId="0" borderId="0" xfId="0" applyNumberFormat="1" applyFont="1" applyFill="1" applyBorder="1" applyAlignment="1">
      <alignment horizontal="center" vertical="center"/>
    </xf>
    <xf numFmtId="0" fontId="20" fillId="0" borderId="0" xfId="0" applyFont="1" applyFill="1" applyBorder="1" applyAlignment="1">
      <alignment vertical="center"/>
    </xf>
    <xf numFmtId="0" fontId="0" fillId="0" borderId="0" xfId="0" applyFill="1" applyBorder="1" applyAlignment="1">
      <alignment horizontal="center" vertical="center"/>
    </xf>
    <xf numFmtId="3" fontId="25" fillId="0" borderId="0" xfId="0" applyNumberFormat="1" applyFont="1" applyFill="1" applyBorder="1" applyAlignment="1">
      <alignment vertical="center"/>
    </xf>
    <xf numFmtId="10" fontId="25" fillId="0" borderId="0" xfId="0" applyNumberFormat="1"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2" fillId="0" borderId="20" xfId="57" applyNumberFormat="1" applyFill="1" applyBorder="1" applyAlignment="1">
      <alignment horizontal="center" vertical="center"/>
    </xf>
    <xf numFmtId="168" fontId="33" fillId="0" borderId="0" xfId="28" applyNumberFormat="1" applyFont="1" applyAlignment="1">
      <alignment vertical="center"/>
    </xf>
    <xf numFmtId="168" fontId="33" fillId="0" borderId="0" xfId="28" applyNumberFormat="1" applyFont="1" applyFill="1" applyBorder="1" applyAlignment="1">
      <alignment vertical="center"/>
    </xf>
    <xf numFmtId="15" fontId="21" fillId="0" borderId="20" xfId="0" applyNumberFormat="1" applyFont="1" applyFill="1" applyBorder="1" applyAlignment="1">
      <alignment horizontal="center" vertical="center"/>
    </xf>
    <xf numFmtId="168" fontId="22" fillId="0" borderId="20" xfId="57" applyNumberFormat="1" applyBorder="1" applyAlignment="1">
      <alignment horizontal="center" vertical="center"/>
    </xf>
    <xf numFmtId="0" fontId="22" fillId="0" borderId="26" xfId="57" applyBorder="1" applyAlignment="1">
      <alignment horizontal="center" vertical="center"/>
    </xf>
    <xf numFmtId="0" fontId="21" fillId="0" borderId="26" xfId="0" applyFont="1" applyFill="1" applyBorder="1" applyAlignment="1">
      <alignment horizontal="center" vertical="center" wrapText="1"/>
    </xf>
    <xf numFmtId="0" fontId="22" fillId="0" borderId="26" xfId="0" applyNumberFormat="1" applyFont="1" applyFill="1" applyBorder="1" applyAlignment="1">
      <alignment horizontal="center" vertical="center"/>
    </xf>
    <xf numFmtId="0" fontId="0" fillId="0" borderId="26" xfId="0" applyNumberFormat="1" applyBorder="1" applyAlignment="1">
      <alignment horizontal="center" vertical="center"/>
    </xf>
    <xf numFmtId="0" fontId="22" fillId="0" borderId="26" xfId="0" applyNumberFormat="1" applyFont="1" applyFill="1" applyBorder="1" applyAlignment="1">
      <alignment horizontal="center" vertical="center" wrapText="1"/>
    </xf>
    <xf numFmtId="0" fontId="22" fillId="0" borderId="26" xfId="0" applyNumberFormat="1" applyFont="1" applyBorder="1" applyAlignment="1">
      <alignment horizontal="center" vertical="center" wrapText="1"/>
    </xf>
    <xf numFmtId="15" fontId="21" fillId="0" borderId="26" xfId="0" applyNumberFormat="1" applyFont="1" applyFill="1" applyBorder="1" applyAlignment="1">
      <alignment horizontal="center" vertical="center"/>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2" fillId="0" borderId="32" xfId="0" applyNumberFormat="1" applyFont="1" applyFill="1" applyBorder="1" applyAlignment="1">
      <alignment horizontal="center" vertical="center"/>
    </xf>
    <xf numFmtId="0" fontId="0" fillId="0" borderId="32" xfId="0" applyNumberFormat="1" applyBorder="1" applyAlignment="1">
      <alignment horizontal="center" vertical="center"/>
    </xf>
    <xf numFmtId="168" fontId="22" fillId="0" borderId="32" xfId="0" applyNumberFormat="1" applyFont="1" applyFill="1" applyBorder="1" applyAlignment="1">
      <alignment horizontal="center" vertical="center" wrapText="1"/>
    </xf>
    <xf numFmtId="0" fontId="22" fillId="0" borderId="32" xfId="0" applyNumberFormat="1" applyFont="1" applyFill="1" applyBorder="1" applyAlignment="1">
      <alignment horizontal="center" vertical="center" wrapText="1"/>
    </xf>
    <xf numFmtId="168" fontId="22" fillId="0" borderId="32" xfId="57" applyNumberFormat="1" applyBorder="1" applyAlignment="1">
      <alignment horizontal="center" vertical="center"/>
    </xf>
    <xf numFmtId="168" fontId="0" fillId="0" borderId="32" xfId="0" applyNumberFormat="1" applyBorder="1" applyAlignment="1">
      <alignment horizontal="center" vertical="center"/>
    </xf>
    <xf numFmtId="0" fontId="22" fillId="0" borderId="32" xfId="57" applyNumberFormat="1" applyBorder="1" applyAlignment="1">
      <alignment horizontal="center" vertical="center"/>
    </xf>
    <xf numFmtId="168" fontId="21" fillId="0" borderId="33" xfId="28" applyNumberFormat="1" applyFont="1" applyFill="1" applyBorder="1" applyAlignment="1">
      <alignment horizontal="center" vertical="center"/>
    </xf>
    <xf numFmtId="168" fontId="22" fillId="0" borderId="34" xfId="28" applyNumberFormat="1" applyFont="1" applyFill="1" applyBorder="1" applyAlignment="1">
      <alignment vertical="center"/>
    </xf>
    <xf numFmtId="15" fontId="22" fillId="0" borderId="29" xfId="0" applyNumberFormat="1" applyFont="1" applyFill="1" applyBorder="1" applyAlignment="1">
      <alignment vertical="center"/>
    </xf>
    <xf numFmtId="15" fontId="19" fillId="0" borderId="29" xfId="0" applyNumberFormat="1" applyFont="1" applyFill="1" applyBorder="1" applyAlignment="1">
      <alignment vertical="center"/>
    </xf>
    <xf numFmtId="15" fontId="19" fillId="0" borderId="29" xfId="0" applyNumberFormat="1" applyFont="1" applyFill="1" applyBorder="1" applyAlignment="1">
      <alignment vertical="center"/>
    </xf>
    <xf numFmtId="15" fontId="19" fillId="0" borderId="29" xfId="58" applyNumberFormat="1" applyFont="1" applyFill="1" applyBorder="1" applyAlignment="1">
      <alignment vertical="center"/>
    </xf>
    <xf numFmtId="10" fontId="21" fillId="0" borderId="29" xfId="0" applyNumberFormat="1" applyFont="1" applyFill="1" applyBorder="1" applyAlignment="1">
      <alignment horizontal="center" vertical="center"/>
    </xf>
    <xf numFmtId="0" fontId="21" fillId="0" borderId="35" xfId="0" applyFont="1" applyFill="1" applyBorder="1" applyAlignment="1">
      <alignment horizontal="center" vertical="center" wrapText="1"/>
    </xf>
    <xf numFmtId="4" fontId="22" fillId="0" borderId="36" xfId="0" applyNumberFormat="1" applyFont="1" applyFill="1" applyBorder="1" applyAlignment="1">
      <alignment vertical="center"/>
    </xf>
    <xf numFmtId="3" fontId="21" fillId="0" borderId="36" xfId="0" applyNumberFormat="1" applyFont="1" applyFill="1" applyBorder="1" applyAlignment="1">
      <alignment vertical="center"/>
    </xf>
    <xf numFmtId="0" fontId="22" fillId="0" borderId="37" xfId="0" applyNumberFormat="1" applyFont="1" applyFill="1" applyBorder="1" applyAlignment="1">
      <alignment horizontal="center" vertical="center"/>
    </xf>
    <xf numFmtId="0" fontId="0" fillId="0" borderId="37" xfId="0" applyNumberFormat="1" applyBorder="1" applyAlignment="1">
      <alignment horizontal="center" vertical="center"/>
    </xf>
    <xf numFmtId="0" fontId="22" fillId="0" borderId="37" xfId="0" applyNumberFormat="1" applyFont="1" applyFill="1" applyBorder="1" applyAlignment="1">
      <alignment horizontal="center" vertical="center" wrapText="1"/>
    </xf>
    <xf numFmtId="0" fontId="21" fillId="0" borderId="34" xfId="0" applyFont="1" applyFill="1" applyBorder="1" applyAlignment="1">
      <alignment horizontal="center" vertical="center" wrapText="1"/>
    </xf>
    <xf numFmtId="4" fontId="22" fillId="0" borderId="34" xfId="0" applyNumberFormat="1" applyFont="1" applyFill="1" applyBorder="1" applyAlignment="1">
      <alignment vertical="center"/>
    </xf>
    <xf numFmtId="4" fontId="21" fillId="0" borderId="34" xfId="0" applyNumberFormat="1" applyFont="1" applyBorder="1" applyAlignment="1">
      <alignment vertical="center"/>
    </xf>
    <xf numFmtId="168" fontId="22" fillId="0" borderId="34" xfId="28" applyNumberFormat="1" applyFont="1" applyBorder="1" applyAlignment="1">
      <alignment vertical="center"/>
    </xf>
    <xf numFmtId="168" fontId="21" fillId="0" borderId="34" xfId="28" applyNumberFormat="1" applyFont="1" applyFill="1" applyBorder="1" applyAlignment="1">
      <alignment vertical="center"/>
    </xf>
    <xf numFmtId="4" fontId="21" fillId="0" borderId="34" xfId="0" applyNumberFormat="1" applyFont="1" applyFill="1" applyBorder="1" applyAlignment="1">
      <alignment vertical="center"/>
    </xf>
    <xf numFmtId="4" fontId="19" fillId="0" borderId="34" xfId="0" applyNumberFormat="1" applyFont="1" applyBorder="1" applyAlignment="1">
      <alignment vertical="center"/>
    </xf>
    <xf numFmtId="168" fontId="21" fillId="0" borderId="34" xfId="28" applyNumberFormat="1" applyFont="1" applyBorder="1" applyAlignment="1">
      <alignment vertical="center"/>
    </xf>
    <xf numFmtId="0" fontId="21" fillId="0" borderId="38" xfId="0" applyFont="1" applyFill="1" applyBorder="1" applyAlignment="1">
      <alignment horizontal="center" vertical="center" wrapText="1"/>
    </xf>
    <xf numFmtId="4" fontId="22" fillId="0" borderId="39" xfId="0" applyNumberFormat="1" applyFont="1" applyFill="1" applyBorder="1" applyAlignment="1">
      <alignment vertical="center"/>
    </xf>
    <xf numFmtId="4" fontId="21" fillId="0" borderId="39" xfId="0" applyNumberFormat="1" applyFont="1" applyFill="1" applyBorder="1" applyAlignment="1">
      <alignment vertical="center"/>
    </xf>
    <xf numFmtId="168" fontId="22" fillId="0" borderId="39" xfId="28" applyNumberFormat="1" applyFont="1" applyFill="1" applyBorder="1" applyAlignment="1">
      <alignment vertical="center"/>
    </xf>
    <xf numFmtId="168" fontId="21" fillId="0" borderId="39" xfId="28" applyNumberFormat="1" applyFont="1" applyFill="1" applyBorder="1" applyAlignment="1">
      <alignment vertical="center"/>
    </xf>
    <xf numFmtId="168" fontId="22" fillId="0" borderId="39" xfId="28" applyNumberFormat="1" applyFont="1" applyBorder="1" applyAlignment="1">
      <alignment vertical="center"/>
    </xf>
    <xf numFmtId="4" fontId="23" fillId="0" borderId="39" xfId="0" applyNumberFormat="1" applyFont="1" applyFill="1" applyBorder="1" applyAlignment="1">
      <alignment vertical="center"/>
    </xf>
    <xf numFmtId="4" fontId="0" fillId="0" borderId="39" xfId="0" applyNumberFormat="1" applyFill="1" applyBorder="1" applyAlignment="1">
      <alignment vertical="center"/>
    </xf>
    <xf numFmtId="4" fontId="0" fillId="0" borderId="39" xfId="0" applyNumberFormat="1" applyBorder="1" applyAlignment="1">
      <alignment vertical="center"/>
    </xf>
    <xf numFmtId="0" fontId="22" fillId="0" borderId="26" xfId="57" applyNumberFormat="1" applyBorder="1" applyAlignment="1">
      <alignment horizontal="center" vertical="center" wrapText="1"/>
    </xf>
    <xf numFmtId="168" fontId="21" fillId="0" borderId="40" xfId="28" applyNumberFormat="1" applyFont="1" applyFill="1" applyBorder="1" applyAlignment="1">
      <alignment vertical="center"/>
    </xf>
    <xf numFmtId="168" fontId="38" fillId="0" borderId="0" xfId="0" applyNumberFormat="1" applyFont="1" applyFill="1" applyBorder="1" applyAlignment="1">
      <alignment vertical="center"/>
    </xf>
    <xf numFmtId="168" fontId="38" fillId="0" borderId="0" xfId="28" applyNumberFormat="1" applyFont="1" applyFill="1" applyBorder="1" applyAlignment="1">
      <alignment horizontal="center" vertical="center"/>
    </xf>
    <xf numFmtId="9" fontId="38" fillId="0" borderId="0" xfId="0" applyNumberFormat="1" applyFont="1" applyFill="1" applyBorder="1" applyAlignment="1">
      <alignment horizontal="center" vertical="center"/>
    </xf>
    <xf numFmtId="10" fontId="38" fillId="0" borderId="0" xfId="84" applyNumberFormat="1" applyFont="1" applyFill="1" applyBorder="1" applyAlignment="1">
      <alignment vertical="center"/>
    </xf>
    <xf numFmtId="0" fontId="19" fillId="0" borderId="0" xfId="57" applyFont="1" applyFill="1" applyBorder="1" applyAlignment="1">
      <alignment horizontal="center" vertical="center" wrapText="1"/>
    </xf>
    <xf numFmtId="0" fontId="22" fillId="0" borderId="29" xfId="0" applyNumberFormat="1" applyFont="1" applyFill="1" applyBorder="1" applyAlignment="1">
      <alignment horizontal="center" vertical="center"/>
    </xf>
    <xf numFmtId="0" fontId="21" fillId="0" borderId="20" xfId="0" applyFont="1" applyBorder="1" applyAlignment="1">
      <alignment horizontal="center" vertical="center"/>
    </xf>
    <xf numFmtId="168" fontId="22" fillId="0" borderId="26" xfId="57" applyNumberFormat="1" applyBorder="1" applyAlignment="1">
      <alignment horizontal="center" vertical="center"/>
    </xf>
    <xf numFmtId="168" fontId="22" fillId="0" borderId="26" xfId="0" applyNumberFormat="1" applyFont="1" applyFill="1" applyBorder="1" applyAlignment="1">
      <alignment horizontal="center" vertical="center" wrapText="1"/>
    </xf>
    <xf numFmtId="168" fontId="22" fillId="0" borderId="41" xfId="57" applyNumberFormat="1" applyBorder="1" applyAlignment="1">
      <alignment horizontal="center" vertical="center"/>
    </xf>
    <xf numFmtId="168" fontId="21" fillId="0" borderId="42" xfId="28" applyNumberFormat="1" applyFont="1" applyFill="1" applyBorder="1" applyAlignment="1">
      <alignment horizontal="center" vertical="center"/>
    </xf>
    <xf numFmtId="168" fontId="21" fillId="0" borderId="43" xfId="28" applyNumberFormat="1" applyFont="1" applyFill="1" applyBorder="1" applyAlignment="1">
      <alignment vertical="center"/>
    </xf>
    <xf numFmtId="4" fontId="22" fillId="0" borderId="43" xfId="0" applyNumberFormat="1" applyFont="1" applyFill="1" applyBorder="1" applyAlignment="1">
      <alignment vertical="center"/>
    </xf>
    <xf numFmtId="3" fontId="22" fillId="0" borderId="43" xfId="0" applyNumberFormat="1" applyFont="1" applyFill="1" applyBorder="1" applyAlignment="1">
      <alignment vertical="center"/>
    </xf>
    <xf numFmtId="168" fontId="22" fillId="0" borderId="43" xfId="28" applyNumberFormat="1" applyFont="1" applyFill="1" applyBorder="1" applyAlignment="1">
      <alignment vertical="center"/>
    </xf>
    <xf numFmtId="168" fontId="22" fillId="0" borderId="44" xfId="28" applyNumberFormat="1" applyFont="1" applyFill="1" applyBorder="1" applyAlignment="1">
      <alignment vertical="center"/>
    </xf>
    <xf numFmtId="168" fontId="21" fillId="0" borderId="45" xfId="28" applyNumberFormat="1" applyFont="1" applyFill="1" applyBorder="1" applyAlignment="1">
      <alignment vertical="center"/>
    </xf>
    <xf numFmtId="3" fontId="21" fillId="0" borderId="43" xfId="0" applyNumberFormat="1" applyFont="1" applyFill="1" applyBorder="1" applyAlignment="1">
      <alignment vertical="center"/>
    </xf>
    <xf numFmtId="3" fontId="0" fillId="0" borderId="43" xfId="0" applyNumberFormat="1" applyFill="1" applyBorder="1" applyAlignment="1">
      <alignment vertical="center"/>
    </xf>
    <xf numFmtId="168" fontId="21" fillId="0" borderId="46" xfId="28" applyNumberFormat="1" applyFont="1" applyFill="1" applyBorder="1" applyAlignment="1">
      <alignment vertical="center"/>
    </xf>
    <xf numFmtId="0" fontId="37" fillId="0" borderId="0" xfId="57" applyFont="1" applyFill="1" applyBorder="1" applyAlignment="1">
      <alignment vertical="center"/>
    </xf>
    <xf numFmtId="3" fontId="19" fillId="0" borderId="39" xfId="0" applyNumberFormat="1" applyFont="1" applyFill="1" applyBorder="1" applyAlignment="1">
      <alignment vertical="center"/>
    </xf>
    <xf numFmtId="3" fontId="21" fillId="0" borderId="34" xfId="0" applyNumberFormat="1" applyFont="1" applyFill="1" applyBorder="1" applyAlignment="1">
      <alignment vertical="center"/>
    </xf>
    <xf numFmtId="3" fontId="23" fillId="0" borderId="39" xfId="0" applyNumberFormat="1" applyFont="1" applyFill="1" applyBorder="1" applyAlignment="1">
      <alignment vertical="center"/>
    </xf>
    <xf numFmtId="3" fontId="23" fillId="0" borderId="29" xfId="0" applyNumberFormat="1" applyFont="1" applyFill="1" applyBorder="1" applyAlignment="1">
      <alignment vertical="center"/>
    </xf>
    <xf numFmtId="165" fontId="22" fillId="0" borderId="29" xfId="28" applyFont="1" applyFill="1" applyBorder="1" applyAlignment="1">
      <alignment vertical="center"/>
    </xf>
    <xf numFmtId="3" fontId="19" fillId="0" borderId="29" xfId="0" applyNumberFormat="1" applyFont="1" applyFill="1" applyBorder="1" applyAlignment="1">
      <alignment vertical="center"/>
    </xf>
    <xf numFmtId="0" fontId="22" fillId="25" borderId="20" xfId="0" applyFont="1" applyFill="1" applyBorder="1" applyAlignment="1">
      <alignment horizontal="center" vertical="center"/>
    </xf>
    <xf numFmtId="0" fontId="21" fillId="0" borderId="25" xfId="57" applyFont="1" applyBorder="1" applyAlignment="1">
      <alignment vertical="center"/>
    </xf>
    <xf numFmtId="15" fontId="19" fillId="25" borderId="29" xfId="0" applyNumberFormat="1" applyFont="1" applyFill="1" applyBorder="1" applyAlignment="1">
      <alignment vertical="center"/>
    </xf>
    <xf numFmtId="15" fontId="19" fillId="25" borderId="29" xfId="0" applyNumberFormat="1" applyFont="1" applyFill="1" applyBorder="1" applyAlignment="1">
      <alignment vertical="center"/>
    </xf>
    <xf numFmtId="15" fontId="22" fillId="25" borderId="29" xfId="0" applyNumberFormat="1" applyFont="1" applyFill="1" applyBorder="1" applyAlignment="1">
      <alignment vertical="center"/>
    </xf>
    <xf numFmtId="4" fontId="37" fillId="0" borderId="29" xfId="0" applyNumberFormat="1" applyFont="1" applyFill="1" applyBorder="1" applyAlignment="1">
      <alignment vertical="center"/>
    </xf>
    <xf numFmtId="4" fontId="38" fillId="0" borderId="29" xfId="0" applyNumberFormat="1" applyFont="1" applyFill="1" applyBorder="1" applyAlignment="1">
      <alignment vertical="center"/>
    </xf>
    <xf numFmtId="168" fontId="37" fillId="0" borderId="29" xfId="28" applyNumberFormat="1" applyFont="1" applyFill="1" applyBorder="1" applyAlignment="1">
      <alignment vertical="center"/>
    </xf>
    <xf numFmtId="168" fontId="38" fillId="0" borderId="29" xfId="28" applyNumberFormat="1" applyFont="1" applyFill="1" applyBorder="1" applyAlignment="1">
      <alignment vertical="center"/>
    </xf>
    <xf numFmtId="3" fontId="37" fillId="0" borderId="29" xfId="0" applyNumberFormat="1" applyFont="1" applyFill="1" applyBorder="1" applyAlignment="1">
      <alignment vertical="center"/>
    </xf>
    <xf numFmtId="3" fontId="38" fillId="0" borderId="29" xfId="0" applyNumberFormat="1" applyFont="1" applyFill="1" applyBorder="1" applyAlignment="1">
      <alignment vertical="center"/>
    </xf>
    <xf numFmtId="168" fontId="38" fillId="0" borderId="0" xfId="28" applyNumberFormat="1" applyFont="1" applyFill="1" applyBorder="1" applyAlignment="1">
      <alignment vertical="center"/>
    </xf>
    <xf numFmtId="0" fontId="38" fillId="0" borderId="0" xfId="0" applyFont="1" applyFill="1" applyBorder="1" applyAlignment="1">
      <alignment vertical="center"/>
    </xf>
    <xf numFmtId="0" fontId="39" fillId="0" borderId="0" xfId="0" applyFont="1" applyFill="1" applyBorder="1" applyAlignment="1">
      <alignment vertical="center"/>
    </xf>
    <xf numFmtId="168" fontId="37" fillId="26" borderId="29" xfId="28" applyNumberFormat="1" applyFont="1" applyFill="1" applyBorder="1" applyAlignment="1">
      <alignment vertical="center"/>
    </xf>
    <xf numFmtId="0" fontId="19" fillId="0" borderId="49" xfId="57" applyFont="1" applyFill="1" applyBorder="1" applyAlignment="1">
      <alignment horizontal="left" vertical="center" wrapText="1"/>
    </xf>
    <xf numFmtId="0" fontId="37" fillId="0" borderId="29" xfId="0" applyFont="1" applyFill="1" applyBorder="1" applyAlignment="1">
      <alignment horizontal="center" vertical="center" wrapText="1"/>
    </xf>
    <xf numFmtId="9" fontId="22" fillId="0" borderId="0" xfId="84" applyFont="1" applyBorder="1" applyAlignment="1">
      <alignment vertical="center"/>
    </xf>
    <xf numFmtId="9" fontId="22" fillId="0" borderId="0" xfId="84" applyFont="1" applyFill="1" applyBorder="1" applyAlignment="1">
      <alignment vertical="center"/>
    </xf>
    <xf numFmtId="0" fontId="19" fillId="0" borderId="0" xfId="0" applyFont="1" applyFill="1" applyBorder="1" applyAlignment="1">
      <alignment vertical="center" wrapText="1"/>
    </xf>
    <xf numFmtId="0" fontId="0" fillId="0" borderId="0" xfId="0" applyFill="1" applyBorder="1" applyAlignment="1">
      <alignment vertical="center" wrapText="1"/>
    </xf>
    <xf numFmtId="0" fontId="28" fillId="0" borderId="0" xfId="57" applyFont="1" applyBorder="1" applyAlignment="1">
      <alignment vertical="center"/>
    </xf>
    <xf numFmtId="15" fontId="28" fillId="0" borderId="0" xfId="57" applyNumberFormat="1" applyFont="1" applyBorder="1" applyAlignment="1">
      <alignment vertical="center"/>
    </xf>
    <xf numFmtId="0" fontId="21" fillId="0" borderId="0" xfId="0" applyFont="1" applyAlignment="1">
      <alignment vertical="center"/>
    </xf>
    <xf numFmtId="15" fontId="28" fillId="0" borderId="0" xfId="57" applyNumberFormat="1" applyFont="1" applyFill="1" applyBorder="1" applyAlignment="1">
      <alignment horizontal="justify" vertical="center"/>
    </xf>
    <xf numFmtId="0" fontId="40" fillId="0" borderId="0" xfId="57" applyFont="1" applyFill="1" applyBorder="1" applyAlignment="1">
      <alignment horizontal="center" vertical="center"/>
    </xf>
    <xf numFmtId="0" fontId="34" fillId="0" borderId="13" xfId="0" applyFont="1" applyBorder="1" applyAlignment="1">
      <alignment vertical="center"/>
    </xf>
    <xf numFmtId="0" fontId="40" fillId="0" borderId="13" xfId="0" applyFont="1" applyBorder="1" applyAlignment="1">
      <alignment horizontal="right" vertical="center"/>
    </xf>
    <xf numFmtId="0" fontId="28" fillId="0" borderId="0" xfId="57" applyFont="1" applyFill="1" applyBorder="1" applyAlignment="1">
      <alignment horizontal="center" vertical="center"/>
    </xf>
    <xf numFmtId="15" fontId="28" fillId="0" borderId="0" xfId="57" applyNumberFormat="1" applyFont="1" applyFill="1" applyBorder="1" applyAlignment="1">
      <alignment horizontal="center" vertical="center"/>
    </xf>
    <xf numFmtId="0" fontId="1" fillId="0" borderId="0" xfId="57" applyFont="1" applyFill="1" applyBorder="1" applyAlignment="1">
      <alignment horizontal="justify" vertical="center" wrapText="1"/>
    </xf>
    <xf numFmtId="168" fontId="1" fillId="0" borderId="0" xfId="28" applyNumberFormat="1" applyFont="1" applyFill="1" applyBorder="1" applyAlignment="1">
      <alignment vertical="center"/>
    </xf>
    <xf numFmtId="0" fontId="41" fillId="0" borderId="0" xfId="57" applyFont="1" applyBorder="1" applyAlignment="1">
      <alignment vertical="center"/>
    </xf>
    <xf numFmtId="0" fontId="25" fillId="0" borderId="0" xfId="57" applyFont="1" applyFill="1" applyBorder="1" applyAlignment="1">
      <alignment horizontal="center" vertical="center"/>
    </xf>
    <xf numFmtId="0" fontId="25" fillId="0" borderId="0" xfId="57" applyFont="1" applyFill="1" applyBorder="1" applyAlignment="1">
      <alignment vertical="center"/>
    </xf>
    <xf numFmtId="0" fontId="25" fillId="0" borderId="0" xfId="57" applyFont="1" applyBorder="1" applyAlignment="1">
      <alignment horizontal="center" vertical="center"/>
    </xf>
    <xf numFmtId="168" fontId="25" fillId="0" borderId="0" xfId="28" applyNumberFormat="1" applyFont="1" applyFill="1" applyBorder="1" applyAlignment="1">
      <alignment horizontal="center" vertical="center"/>
    </xf>
    <xf numFmtId="0" fontId="39" fillId="0" borderId="0" xfId="57" applyFont="1" applyFill="1" applyBorder="1" applyAlignment="1">
      <alignment vertical="center"/>
    </xf>
    <xf numFmtId="0" fontId="24" fillId="0" borderId="0" xfId="57" applyFont="1" applyFill="1" applyBorder="1" applyAlignment="1">
      <alignment horizontal="center" vertical="center"/>
    </xf>
    <xf numFmtId="0" fontId="25" fillId="0" borderId="0" xfId="57" applyFont="1" applyFill="1" applyBorder="1" applyAlignment="1">
      <alignment horizontal="justify" vertical="center" wrapText="1"/>
    </xf>
    <xf numFmtId="0" fontId="25" fillId="0" borderId="0" xfId="57" applyFont="1" applyBorder="1" applyAlignment="1">
      <alignment vertical="center"/>
    </xf>
    <xf numFmtId="0" fontId="24" fillId="0" borderId="61" xfId="57" applyFont="1" applyFill="1" applyBorder="1" applyAlignment="1">
      <alignment horizontal="center" vertical="center" wrapText="1"/>
    </xf>
    <xf numFmtId="0" fontId="24" fillId="0" borderId="20" xfId="57" applyFont="1" applyFill="1" applyBorder="1" applyAlignment="1">
      <alignment horizontal="center" vertical="center" wrapText="1"/>
    </xf>
    <xf numFmtId="0" fontId="24" fillId="0" borderId="20" xfId="57" applyFont="1" applyBorder="1" applyAlignment="1">
      <alignment horizontal="center" vertical="center" wrapText="1"/>
    </xf>
    <xf numFmtId="0" fontId="42" fillId="0" borderId="20" xfId="57" applyFont="1" applyFill="1" applyBorder="1" applyAlignment="1">
      <alignment horizontal="center" vertical="center" wrapText="1"/>
    </xf>
    <xf numFmtId="0" fontId="25" fillId="0" borderId="0" xfId="57" applyFont="1" applyBorder="1" applyAlignment="1">
      <alignment horizontal="center" vertical="center" wrapText="1"/>
    </xf>
    <xf numFmtId="168" fontId="25" fillId="0" borderId="20" xfId="28" applyNumberFormat="1" applyFont="1" applyFill="1" applyBorder="1" applyAlignment="1">
      <alignment horizontal="center" vertical="center" wrapText="1"/>
    </xf>
    <xf numFmtId="0" fontId="24" fillId="0" borderId="20" xfId="57" applyFont="1" applyFill="1" applyBorder="1" applyAlignment="1">
      <alignment horizontal="justify" vertical="center" wrapText="1"/>
    </xf>
    <xf numFmtId="0" fontId="24" fillId="0" borderId="62" xfId="57" applyFont="1" applyFill="1" applyBorder="1" applyAlignment="1">
      <alignment horizontal="center" vertical="center"/>
    </xf>
    <xf numFmtId="0" fontId="24" fillId="0" borderId="25" xfId="57" applyFont="1" applyFill="1" applyBorder="1" applyAlignment="1">
      <alignment vertical="center"/>
    </xf>
    <xf numFmtId="0" fontId="25" fillId="0" borderId="20" xfId="57" applyNumberFormat="1" applyFont="1" applyBorder="1" applyAlignment="1">
      <alignment horizontal="center" vertical="center"/>
    </xf>
    <xf numFmtId="168" fontId="25" fillId="0" borderId="20" xfId="28" applyNumberFormat="1" applyFont="1" applyFill="1" applyBorder="1" applyAlignment="1">
      <alignment horizontal="center" vertical="center"/>
    </xf>
    <xf numFmtId="3" fontId="25" fillId="0" borderId="20" xfId="57" applyNumberFormat="1" applyFont="1" applyFill="1" applyBorder="1" applyAlignment="1">
      <alignment vertical="center"/>
    </xf>
    <xf numFmtId="3" fontId="39" fillId="0" borderId="20" xfId="57" applyNumberFormat="1" applyFont="1" applyFill="1" applyBorder="1" applyAlignment="1">
      <alignment vertical="center"/>
    </xf>
    <xf numFmtId="15" fontId="24" fillId="0" borderId="20" xfId="57" applyNumberFormat="1" applyFont="1" applyFill="1" applyBorder="1" applyAlignment="1">
      <alignment horizontal="center" vertical="center"/>
    </xf>
    <xf numFmtId="0" fontId="25" fillId="0" borderId="20" xfId="57" applyFont="1" applyFill="1" applyBorder="1" applyAlignment="1">
      <alignment horizontal="justify" vertical="center" wrapText="1"/>
    </xf>
    <xf numFmtId="0" fontId="25" fillId="27" borderId="21" xfId="0" applyFont="1" applyFill="1" applyBorder="1" applyAlignment="1">
      <alignment horizontal="center" vertical="center"/>
    </xf>
    <xf numFmtId="0" fontId="25" fillId="0" borderId="21" xfId="0" applyFont="1" applyFill="1" applyBorder="1" applyAlignment="1">
      <alignment vertical="center" wrapText="1"/>
    </xf>
    <xf numFmtId="0" fontId="25" fillId="0" borderId="29" xfId="57" applyNumberFormat="1" applyFont="1" applyFill="1" applyBorder="1" applyAlignment="1">
      <alignment horizontal="center" vertical="center"/>
    </xf>
    <xf numFmtId="168" fontId="25" fillId="0" borderId="20" xfId="57" applyNumberFormat="1" applyFont="1" applyFill="1" applyBorder="1" applyAlignment="1">
      <alignment horizontal="center" vertical="center"/>
    </xf>
    <xf numFmtId="168" fontId="25" fillId="0" borderId="26" xfId="57" applyNumberFormat="1" applyFont="1" applyFill="1" applyBorder="1" applyAlignment="1">
      <alignment horizontal="center" vertical="center"/>
    </xf>
    <xf numFmtId="168" fontId="25" fillId="0" borderId="29" xfId="28" applyNumberFormat="1" applyFont="1" applyFill="1" applyBorder="1" applyAlignment="1">
      <alignment vertical="center"/>
    </xf>
    <xf numFmtId="168" fontId="25" fillId="0" borderId="20" xfId="28" applyNumberFormat="1" applyFont="1" applyFill="1" applyBorder="1" applyAlignment="1">
      <alignment vertical="center"/>
    </xf>
    <xf numFmtId="15" fontId="26" fillId="27" borderId="20" xfId="57" applyNumberFormat="1" applyFont="1" applyFill="1" applyBorder="1" applyAlignment="1">
      <alignment vertical="center"/>
    </xf>
    <xf numFmtId="0" fontId="25" fillId="0" borderId="20" xfId="0" applyFont="1" applyFill="1" applyBorder="1" applyAlignment="1">
      <alignment horizontal="justify" vertical="center" wrapText="1"/>
    </xf>
    <xf numFmtId="15" fontId="26" fillId="0" borderId="20" xfId="57" applyNumberFormat="1" applyFont="1" applyFill="1" applyBorder="1" applyAlignment="1">
      <alignment vertical="center"/>
    </xf>
    <xf numFmtId="0" fontId="25" fillId="0" borderId="21" xfId="0" applyFont="1" applyFill="1" applyBorder="1" applyAlignment="1">
      <alignment horizontal="center" vertical="center"/>
    </xf>
    <xf numFmtId="0" fontId="25" fillId="0" borderId="29" xfId="57" applyNumberFormat="1" applyFont="1" applyBorder="1" applyAlignment="1">
      <alignment horizontal="center" vertical="center"/>
    </xf>
    <xf numFmtId="168" fontId="24" fillId="0" borderId="20" xfId="28" applyNumberFormat="1" applyFont="1" applyFill="1" applyBorder="1" applyAlignment="1">
      <alignment vertical="center"/>
    </xf>
    <xf numFmtId="168" fontId="24" fillId="0" borderId="29" xfId="28" applyNumberFormat="1" applyFont="1" applyFill="1" applyBorder="1" applyAlignment="1">
      <alignment vertical="center"/>
    </xf>
    <xf numFmtId="15" fontId="24" fillId="27" borderId="20" xfId="57" applyNumberFormat="1" applyFont="1" applyFill="1" applyBorder="1" applyAlignment="1">
      <alignment horizontal="center" vertical="center"/>
    </xf>
    <xf numFmtId="0" fontId="25" fillId="0" borderId="63" xfId="57" applyFont="1" applyFill="1" applyBorder="1" applyAlignment="1">
      <alignment horizontal="center" vertical="center"/>
    </xf>
    <xf numFmtId="0" fontId="25" fillId="0" borderId="24" xfId="57" applyFont="1" applyFill="1" applyBorder="1" applyAlignment="1">
      <alignment vertical="center"/>
    </xf>
    <xf numFmtId="0" fontId="24" fillId="0" borderId="61" xfId="57" applyFont="1" applyFill="1" applyBorder="1" applyAlignment="1">
      <alignment horizontal="center" vertical="center"/>
    </xf>
    <xf numFmtId="0" fontId="24" fillId="0" borderId="20" xfId="57" applyFont="1" applyFill="1" applyBorder="1" applyAlignment="1">
      <alignment vertical="center"/>
    </xf>
    <xf numFmtId="3" fontId="25" fillId="0" borderId="29" xfId="57" applyNumberFormat="1" applyFont="1" applyFill="1" applyBorder="1" applyAlignment="1">
      <alignment vertical="center"/>
    </xf>
    <xf numFmtId="0" fontId="25" fillId="27" borderId="21" xfId="57" applyFont="1" applyFill="1" applyBorder="1" applyAlignment="1">
      <alignment horizontal="center" vertical="center" wrapText="1"/>
    </xf>
    <xf numFmtId="0" fontId="26" fillId="0" borderId="21" xfId="57" applyFont="1" applyFill="1" applyBorder="1" applyAlignment="1">
      <alignment horizontal="left" vertical="center" wrapText="1"/>
    </xf>
    <xf numFmtId="168" fontId="25" fillId="0" borderId="26" xfId="57" applyNumberFormat="1" applyFont="1" applyBorder="1" applyAlignment="1">
      <alignment horizontal="center" vertical="center"/>
    </xf>
    <xf numFmtId="0" fontId="25" fillId="0" borderId="20" xfId="53" applyFont="1" applyFill="1" applyBorder="1" applyAlignment="1" applyProtection="1">
      <alignment horizontal="justify" vertical="center" wrapText="1"/>
    </xf>
    <xf numFmtId="0" fontId="25" fillId="27" borderId="20" xfId="53" applyFont="1" applyFill="1" applyBorder="1" applyAlignment="1" applyProtection="1">
      <alignment horizontal="justify" vertical="center" wrapText="1"/>
    </xf>
    <xf numFmtId="0" fontId="25" fillId="0" borderId="34" xfId="57" applyNumberFormat="1" applyFont="1" applyBorder="1" applyAlignment="1">
      <alignment horizontal="center" vertical="center"/>
    </xf>
    <xf numFmtId="168" fontId="25" fillId="0" borderId="51" xfId="28" applyNumberFormat="1" applyFont="1" applyFill="1" applyBorder="1" applyAlignment="1">
      <alignment vertical="center"/>
    </xf>
    <xf numFmtId="168" fontId="25" fillId="0" borderId="24" xfId="28" applyNumberFormat="1" applyFont="1" applyFill="1" applyBorder="1" applyAlignment="1">
      <alignment vertical="center"/>
    </xf>
    <xf numFmtId="0" fontId="43" fillId="0" borderId="50" xfId="57" applyFont="1" applyBorder="1" applyAlignment="1">
      <alignment horizontal="center" vertical="center" wrapText="1"/>
    </xf>
    <xf numFmtId="0" fontId="25" fillId="0" borderId="34" xfId="57" applyFont="1" applyBorder="1" applyAlignment="1">
      <alignment horizontal="center" vertical="center"/>
    </xf>
    <xf numFmtId="168" fontId="24" fillId="0" borderId="24" xfId="28" applyNumberFormat="1" applyFont="1" applyFill="1" applyBorder="1" applyAlignment="1">
      <alignment vertical="center"/>
    </xf>
    <xf numFmtId="0" fontId="24" fillId="0" borderId="29" xfId="57" applyFont="1" applyFill="1" applyBorder="1" applyAlignment="1">
      <alignment horizontal="center" vertical="center"/>
    </xf>
    <xf numFmtId="0" fontId="25" fillId="0" borderId="20" xfId="57" applyFont="1" applyFill="1" applyBorder="1" applyAlignment="1">
      <alignment horizontal="justify" vertical="center"/>
    </xf>
    <xf numFmtId="0" fontId="25" fillId="0" borderId="20" xfId="57" applyFont="1" applyBorder="1" applyAlignment="1">
      <alignment horizontal="center" vertical="center"/>
    </xf>
    <xf numFmtId="3" fontId="24" fillId="0" borderId="29" xfId="57" applyNumberFormat="1" applyFont="1" applyFill="1" applyBorder="1" applyAlignment="1">
      <alignment vertical="center"/>
    </xf>
    <xf numFmtId="3" fontId="24" fillId="0" borderId="20" xfId="57" applyNumberFormat="1" applyFont="1" applyFill="1" applyBorder="1" applyAlignment="1">
      <alignment vertical="center"/>
    </xf>
    <xf numFmtId="0" fontId="24" fillId="0" borderId="20" xfId="57" applyFont="1" applyFill="1" applyBorder="1" applyAlignment="1">
      <alignment horizontal="center" vertical="center"/>
    </xf>
    <xf numFmtId="0" fontId="25" fillId="0" borderId="20" xfId="57" applyFont="1" applyFill="1" applyBorder="1" applyAlignment="1">
      <alignment horizontal="center" vertical="center"/>
    </xf>
    <xf numFmtId="0" fontId="25" fillId="0" borderId="21" xfId="0" applyFont="1" applyFill="1" applyBorder="1" applyAlignment="1">
      <alignment vertical="center"/>
    </xf>
    <xf numFmtId="0" fontId="32" fillId="0" borderId="50" xfId="57" applyFont="1" applyFill="1" applyBorder="1" applyAlignment="1">
      <alignment horizontal="center" vertical="center" wrapText="1"/>
    </xf>
    <xf numFmtId="168" fontId="39" fillId="0" borderId="20" xfId="28" applyNumberFormat="1" applyFont="1" applyFill="1" applyBorder="1" applyAlignment="1">
      <alignment horizontal="center" vertical="center"/>
    </xf>
    <xf numFmtId="15" fontId="25" fillId="27" borderId="20" xfId="57" applyNumberFormat="1" applyFont="1" applyFill="1" applyBorder="1" applyAlignment="1">
      <alignment vertical="center"/>
    </xf>
    <xf numFmtId="0" fontId="25" fillId="27" borderId="23" xfId="0" applyFont="1" applyFill="1" applyBorder="1" applyAlignment="1">
      <alignment horizontal="center" vertical="center"/>
    </xf>
    <xf numFmtId="0" fontId="25" fillId="0" borderId="22" xfId="0" applyFont="1" applyFill="1" applyBorder="1" applyAlignment="1">
      <alignment vertical="center"/>
    </xf>
    <xf numFmtId="0" fontId="25" fillId="27" borderId="64" xfId="0" applyFont="1" applyFill="1" applyBorder="1" applyAlignment="1">
      <alignment horizontal="center" vertical="center"/>
    </xf>
    <xf numFmtId="0" fontId="26" fillId="0" borderId="22" xfId="57" applyFont="1" applyFill="1" applyBorder="1" applyAlignment="1">
      <alignment horizontal="left" vertical="center" wrapText="1"/>
    </xf>
    <xf numFmtId="0" fontId="25" fillId="0" borderId="53" xfId="57" applyFont="1" applyFill="1" applyBorder="1" applyAlignment="1">
      <alignment vertical="center"/>
    </xf>
    <xf numFmtId="15" fontId="24" fillId="0" borderId="29" xfId="57" applyNumberFormat="1" applyFont="1" applyFill="1" applyBorder="1" applyAlignment="1">
      <alignment horizontal="center" vertical="center"/>
    </xf>
    <xf numFmtId="0" fontId="25" fillId="0" borderId="20" xfId="57" applyFont="1" applyFill="1" applyBorder="1" applyAlignment="1">
      <alignment vertical="center"/>
    </xf>
    <xf numFmtId="0" fontId="24" fillId="0" borderId="25" xfId="57" applyFont="1" applyFill="1" applyBorder="1" applyAlignment="1">
      <alignment horizontal="center" vertical="center"/>
    </xf>
    <xf numFmtId="0" fontId="24" fillId="0" borderId="20" xfId="0" applyFont="1" applyFill="1" applyBorder="1" applyAlignment="1">
      <alignment vertical="center"/>
    </xf>
    <xf numFmtId="0" fontId="25" fillId="27" borderId="48" xfId="0" applyFont="1" applyFill="1" applyBorder="1" applyAlignment="1">
      <alignment horizontal="center" vertical="center"/>
    </xf>
    <xf numFmtId="0" fontId="25" fillId="0" borderId="48" xfId="0" applyFont="1" applyFill="1" applyBorder="1" applyAlignment="1">
      <alignment vertical="center" wrapText="1"/>
    </xf>
    <xf numFmtId="168" fontId="25" fillId="0" borderId="47" xfId="28" applyNumberFormat="1" applyFont="1" applyFill="1" applyBorder="1" applyAlignment="1">
      <alignment vertical="center"/>
    </xf>
    <xf numFmtId="168" fontId="25" fillId="0" borderId="25" xfId="28" applyNumberFormat="1" applyFont="1" applyFill="1" applyBorder="1" applyAlignment="1">
      <alignment vertical="center"/>
    </xf>
    <xf numFmtId="0" fontId="32" fillId="0" borderId="58" xfId="57" applyFont="1" applyFill="1" applyBorder="1" applyAlignment="1">
      <alignment horizontal="center" vertical="center" wrapText="1"/>
    </xf>
    <xf numFmtId="0" fontId="26" fillId="0" borderId="21" xfId="57" applyFont="1" applyFill="1" applyBorder="1" applyAlignment="1">
      <alignment horizontal="center" vertical="center" wrapText="1"/>
    </xf>
    <xf numFmtId="0" fontId="25" fillId="0" borderId="52" xfId="57" applyNumberFormat="1" applyFont="1" applyBorder="1" applyAlignment="1">
      <alignment horizontal="center" vertical="center"/>
    </xf>
    <xf numFmtId="0" fontId="32" fillId="0" borderId="29" xfId="57" applyFont="1" applyFill="1" applyBorder="1" applyAlignment="1">
      <alignment horizontal="center" vertical="center" wrapText="1"/>
    </xf>
    <xf numFmtId="0" fontId="25" fillId="0" borderId="24" xfId="57" applyFont="1" applyFill="1" applyBorder="1" applyAlignment="1">
      <alignment horizontal="center" vertical="center"/>
    </xf>
    <xf numFmtId="0" fontId="25" fillId="0" borderId="24" xfId="57" applyNumberFormat="1" applyFont="1" applyBorder="1" applyAlignment="1">
      <alignment horizontal="center" vertical="center"/>
    </xf>
    <xf numFmtId="0" fontId="25" fillId="27" borderId="20" xfId="0" applyFont="1" applyFill="1" applyBorder="1" applyAlignment="1">
      <alignment horizontal="center" vertical="center" wrapText="1"/>
    </xf>
    <xf numFmtId="0" fontId="25" fillId="0" borderId="20" xfId="0" applyFont="1" applyFill="1" applyBorder="1" applyAlignment="1">
      <alignment vertical="center" wrapText="1"/>
    </xf>
    <xf numFmtId="0" fontId="44" fillId="0" borderId="20" xfId="0" applyFont="1" applyFill="1" applyBorder="1" applyAlignment="1">
      <alignment horizontal="justify" vertical="center" wrapText="1"/>
    </xf>
    <xf numFmtId="0" fontId="39" fillId="0" borderId="20" xfId="0" applyFont="1" applyFill="1" applyBorder="1" applyAlignment="1">
      <alignment horizontal="justify" vertical="center" wrapText="1"/>
    </xf>
    <xf numFmtId="168" fontId="24" fillId="0" borderId="51" xfId="28" applyNumberFormat="1" applyFont="1" applyFill="1" applyBorder="1" applyAlignment="1">
      <alignment vertical="center"/>
    </xf>
    <xf numFmtId="0" fontId="32" fillId="0" borderId="22" xfId="57" applyFont="1" applyBorder="1" applyAlignment="1">
      <alignment horizontal="center" vertical="center" wrapText="1"/>
    </xf>
    <xf numFmtId="0" fontId="25" fillId="27" borderId="21" xfId="0" applyFont="1" applyFill="1" applyBorder="1" applyAlignment="1">
      <alignment horizontal="center" vertical="center" wrapText="1"/>
    </xf>
    <xf numFmtId="0" fontId="25" fillId="0" borderId="21" xfId="57" applyNumberFormat="1" applyFont="1" applyFill="1" applyBorder="1" applyAlignment="1">
      <alignment horizontal="center" vertical="center"/>
    </xf>
    <xf numFmtId="0" fontId="44" fillId="0" borderId="20" xfId="57" applyFont="1" applyFill="1" applyBorder="1" applyAlignment="1">
      <alignment horizontal="justify" vertical="center" wrapText="1"/>
    </xf>
    <xf numFmtId="168" fontId="25" fillId="0" borderId="25" xfId="57" applyNumberFormat="1" applyFont="1" applyFill="1" applyBorder="1" applyAlignment="1">
      <alignment horizontal="center" vertical="center"/>
    </xf>
    <xf numFmtId="168" fontId="39" fillId="0" borderId="25" xfId="28" applyNumberFormat="1" applyFont="1" applyFill="1" applyBorder="1" applyAlignment="1">
      <alignment vertical="center"/>
    </xf>
    <xf numFmtId="15" fontId="26" fillId="27" borderId="25" xfId="57" applyNumberFormat="1" applyFont="1" applyFill="1" applyBorder="1" applyAlignment="1">
      <alignment vertical="center"/>
    </xf>
    <xf numFmtId="0" fontId="32" fillId="0" borderId="60" xfId="57" applyFont="1" applyFill="1" applyBorder="1" applyAlignment="1">
      <alignment horizontal="center" vertical="center" wrapText="1"/>
    </xf>
    <xf numFmtId="168" fontId="39" fillId="0" borderId="21" xfId="28" applyNumberFormat="1" applyFont="1" applyFill="1" applyBorder="1" applyAlignment="1">
      <alignment vertical="center"/>
    </xf>
    <xf numFmtId="168" fontId="25" fillId="0" borderId="21" xfId="28" applyNumberFormat="1" applyFont="1" applyFill="1" applyBorder="1" applyAlignment="1">
      <alignment vertical="center"/>
    </xf>
    <xf numFmtId="15" fontId="26" fillId="27" borderId="21" xfId="57" applyNumberFormat="1" applyFont="1" applyFill="1" applyBorder="1" applyAlignment="1">
      <alignment vertical="center"/>
    </xf>
    <xf numFmtId="0" fontId="25" fillId="0" borderId="23" xfId="0" applyFont="1" applyFill="1" applyBorder="1" applyAlignment="1">
      <alignment vertical="center" wrapText="1"/>
    </xf>
    <xf numFmtId="168" fontId="25" fillId="0" borderId="24" xfId="28" applyNumberFormat="1" applyFont="1" applyFill="1" applyBorder="1" applyAlignment="1">
      <alignment horizontal="center" vertical="center"/>
    </xf>
    <xf numFmtId="15" fontId="26" fillId="0" borderId="24" xfId="57" applyNumberFormat="1" applyFont="1" applyFill="1" applyBorder="1" applyAlignment="1">
      <alignment vertical="center"/>
    </xf>
    <xf numFmtId="0" fontId="25" fillId="0" borderId="21" xfId="57" applyNumberFormat="1" applyFont="1" applyBorder="1" applyAlignment="1">
      <alignment horizontal="center" vertical="center"/>
    </xf>
    <xf numFmtId="0" fontId="24" fillId="0" borderId="47" xfId="57" applyFont="1" applyFill="1" applyBorder="1" applyAlignment="1">
      <alignment horizontal="center" vertical="center"/>
    </xf>
    <xf numFmtId="15" fontId="24" fillId="0" borderId="29" xfId="0" applyNumberFormat="1" applyFont="1" applyFill="1" applyBorder="1" applyAlignment="1">
      <alignment horizontal="center" vertical="center"/>
    </xf>
    <xf numFmtId="0" fontId="25" fillId="0" borderId="0" xfId="57" applyFont="1" applyBorder="1" applyAlignment="1">
      <alignment vertical="center" wrapText="1"/>
    </xf>
    <xf numFmtId="168" fontId="39" fillId="0" borderId="0" xfId="57" applyNumberFormat="1" applyFont="1" applyFill="1" applyBorder="1" applyAlignment="1">
      <alignment horizontal="right" vertical="center"/>
    </xf>
    <xf numFmtId="168" fontId="25" fillId="0" borderId="0" xfId="28" applyNumberFormat="1" applyFont="1" applyFill="1" applyBorder="1" applyAlignment="1">
      <alignment vertical="center"/>
    </xf>
    <xf numFmtId="168" fontId="39" fillId="0" borderId="0" xfId="57" applyNumberFormat="1" applyFont="1" applyFill="1" applyBorder="1" applyAlignment="1">
      <alignment vertical="center"/>
    </xf>
    <xf numFmtId="0" fontId="42" fillId="0" borderId="0" xfId="57" applyFont="1" applyFill="1" applyBorder="1" applyAlignment="1">
      <alignment horizontal="center" vertical="center" wrapText="1"/>
    </xf>
    <xf numFmtId="0" fontId="24" fillId="0" borderId="0" xfId="57" applyFont="1" applyFill="1" applyBorder="1" applyAlignment="1">
      <alignment horizontal="center" vertical="center" wrapText="1"/>
    </xf>
    <xf numFmtId="0" fontId="25" fillId="0" borderId="28" xfId="57" applyFont="1" applyFill="1" applyBorder="1" applyAlignment="1">
      <alignment horizontal="justify" vertical="center" wrapText="1"/>
    </xf>
    <xf numFmtId="168" fontId="25" fillId="0" borderId="41" xfId="57" applyNumberFormat="1" applyFont="1" applyFill="1" applyBorder="1" applyAlignment="1">
      <alignment horizontal="center" vertical="center"/>
    </xf>
    <xf numFmtId="168" fontId="24" fillId="28" borderId="65" xfId="28" applyNumberFormat="1" applyFont="1" applyFill="1" applyBorder="1" applyAlignment="1">
      <alignment vertical="center"/>
    </xf>
    <xf numFmtId="168" fontId="24" fillId="28" borderId="67" xfId="28" applyNumberFormat="1" applyFont="1" applyFill="1" applyBorder="1" applyAlignment="1">
      <alignment vertical="center"/>
    </xf>
    <xf numFmtId="168" fontId="25" fillId="0" borderId="25" xfId="28" applyNumberFormat="1" applyFont="1" applyFill="1" applyBorder="1" applyAlignment="1">
      <alignment horizontal="center" vertical="center"/>
    </xf>
    <xf numFmtId="168" fontId="25" fillId="0" borderId="59" xfId="28" applyNumberFormat="1" applyFont="1" applyFill="1" applyBorder="1" applyAlignment="1">
      <alignment vertical="center"/>
    </xf>
    <xf numFmtId="168" fontId="25" fillId="0" borderId="68" xfId="28" applyNumberFormat="1" applyFont="1" applyFill="1" applyBorder="1" applyAlignment="1">
      <alignment vertical="center"/>
    </xf>
    <xf numFmtId="0" fontId="25" fillId="0" borderId="24" xfId="57" applyFont="1" applyBorder="1" applyAlignment="1">
      <alignment horizontal="center" vertical="center"/>
    </xf>
    <xf numFmtId="3" fontId="24" fillId="0" borderId="51" xfId="57" applyNumberFormat="1" applyFont="1" applyFill="1" applyBorder="1" applyAlignment="1">
      <alignment vertical="center"/>
    </xf>
    <xf numFmtId="3" fontId="24" fillId="0" borderId="24" xfId="57" applyNumberFormat="1" applyFont="1" applyFill="1" applyBorder="1" applyAlignment="1">
      <alignment vertical="center"/>
    </xf>
    <xf numFmtId="168" fontId="25" fillId="0" borderId="25" xfId="57" applyNumberFormat="1" applyFont="1" applyBorder="1" applyAlignment="1">
      <alignment horizontal="center" vertical="center"/>
    </xf>
    <xf numFmtId="168" fontId="25" fillId="0" borderId="60" xfId="28" applyNumberFormat="1" applyFont="1" applyFill="1" applyBorder="1" applyAlignment="1">
      <alignment vertical="center"/>
    </xf>
    <xf numFmtId="168" fontId="24" fillId="0" borderId="68" xfId="28" applyNumberFormat="1" applyFont="1" applyFill="1" applyBorder="1" applyAlignment="1">
      <alignment vertical="center"/>
    </xf>
    <xf numFmtId="168" fontId="24" fillId="0" borderId="59" xfId="28" applyNumberFormat="1" applyFont="1" applyFill="1" applyBorder="1" applyAlignment="1">
      <alignment vertical="center"/>
    </xf>
    <xf numFmtId="168" fontId="39" fillId="0" borderId="68" xfId="28" applyNumberFormat="1" applyFont="1" applyFill="1" applyBorder="1" applyAlignment="1">
      <alignment horizontal="center" vertical="center"/>
    </xf>
    <xf numFmtId="9" fontId="25" fillId="0" borderId="16" xfId="84" applyFont="1" applyFill="1" applyBorder="1" applyAlignment="1">
      <alignment horizontal="center" vertical="center"/>
    </xf>
    <xf numFmtId="49" fontId="24" fillId="28" borderId="17" xfId="57" applyNumberFormat="1" applyFont="1" applyFill="1" applyBorder="1" applyAlignment="1">
      <alignment vertical="center" wrapText="1"/>
    </xf>
    <xf numFmtId="167" fontId="25" fillId="0" borderId="16" xfId="34" applyNumberFormat="1" applyFont="1" applyFill="1" applyBorder="1" applyAlignment="1">
      <alignment horizontal="right" vertical="center"/>
    </xf>
    <xf numFmtId="168" fontId="25" fillId="0" borderId="16" xfId="28" applyNumberFormat="1" applyFont="1" applyFill="1" applyBorder="1" applyAlignment="1">
      <alignment vertical="center"/>
    </xf>
    <xf numFmtId="167" fontId="25" fillId="0" borderId="16" xfId="34" applyNumberFormat="1" applyFont="1" applyFill="1" applyBorder="1" applyAlignment="1">
      <alignment vertical="center"/>
    </xf>
    <xf numFmtId="167" fontId="25" fillId="0" borderId="16" xfId="34" applyNumberFormat="1" applyFont="1" applyFill="1" applyBorder="1" applyAlignment="1" applyProtection="1">
      <alignment vertical="center"/>
      <protection locked="0"/>
    </xf>
    <xf numFmtId="167" fontId="25" fillId="0" borderId="16" xfId="32" applyNumberFormat="1" applyFont="1" applyFill="1" applyBorder="1" applyAlignment="1">
      <alignment vertical="center"/>
    </xf>
    <xf numFmtId="167" fontId="25" fillId="0" borderId="16" xfId="32" applyNumberFormat="1" applyFont="1" applyFill="1" applyBorder="1" applyAlignment="1">
      <alignment horizontal="right" vertical="center"/>
    </xf>
    <xf numFmtId="3" fontId="32" fillId="28" borderId="16" xfId="46" applyNumberFormat="1" applyFont="1" applyFill="1" applyBorder="1" applyAlignment="1">
      <alignment vertical="center"/>
    </xf>
    <xf numFmtId="3" fontId="29" fillId="28" borderId="16" xfId="57" applyNumberFormat="1" applyFont="1" applyFill="1" applyBorder="1" applyAlignment="1">
      <alignment horizontal="center" vertical="center"/>
    </xf>
    <xf numFmtId="9" fontId="24" fillId="28" borderId="16" xfId="84" applyFont="1" applyFill="1" applyBorder="1" applyAlignment="1">
      <alignment horizontal="center" vertical="center"/>
    </xf>
    <xf numFmtId="0" fontId="24" fillId="28" borderId="16" xfId="57" applyFont="1" applyFill="1" applyBorder="1" applyAlignment="1">
      <alignment horizontal="center" vertical="center"/>
    </xf>
    <xf numFmtId="9" fontId="25" fillId="0" borderId="16" xfId="85" applyFont="1" applyFill="1" applyBorder="1" applyAlignment="1">
      <alignment horizontal="center" vertical="center"/>
    </xf>
    <xf numFmtId="9" fontId="24" fillId="28" borderId="16" xfId="85" applyFont="1" applyFill="1" applyBorder="1" applyAlignment="1">
      <alignment horizontal="center" vertical="center"/>
    </xf>
    <xf numFmtId="168" fontId="39" fillId="0" borderId="25" xfId="28" applyNumberFormat="1" applyFont="1" applyFill="1" applyBorder="1" applyAlignment="1">
      <alignment horizontal="center" vertical="center"/>
    </xf>
    <xf numFmtId="168" fontId="25" fillId="0" borderId="26" xfId="28" applyNumberFormat="1" applyFont="1" applyFill="1" applyBorder="1" applyAlignment="1">
      <alignment vertical="center"/>
    </xf>
    <xf numFmtId="168" fontId="25" fillId="0" borderId="34" xfId="28" applyNumberFormat="1" applyFont="1" applyFill="1" applyBorder="1" applyAlignment="1">
      <alignment vertical="center"/>
    </xf>
    <xf numFmtId="168" fontId="24" fillId="0" borderId="26" xfId="28" applyNumberFormat="1" applyFont="1" applyFill="1" applyBorder="1" applyAlignment="1">
      <alignment vertical="center"/>
    </xf>
    <xf numFmtId="3" fontId="24" fillId="0" borderId="26" xfId="57" applyNumberFormat="1" applyFont="1" applyFill="1" applyBorder="1" applyAlignment="1">
      <alignment vertical="center"/>
    </xf>
    <xf numFmtId="168" fontId="25" fillId="0" borderId="41" xfId="28" applyNumberFormat="1" applyFont="1" applyFill="1" applyBorder="1" applyAlignment="1">
      <alignment vertical="center"/>
    </xf>
    <xf numFmtId="3" fontId="25" fillId="0" borderId="34" xfId="0" applyNumberFormat="1" applyFont="1" applyFill="1" applyBorder="1" applyAlignment="1">
      <alignment vertical="center"/>
    </xf>
    <xf numFmtId="168" fontId="25" fillId="0" borderId="71" xfId="28" applyNumberFormat="1" applyFont="1" applyFill="1" applyBorder="1" applyAlignment="1">
      <alignment vertical="center"/>
    </xf>
    <xf numFmtId="3" fontId="25" fillId="0" borderId="71" xfId="0" applyNumberFormat="1" applyFont="1" applyFill="1" applyBorder="1" applyAlignment="1">
      <alignment vertical="center"/>
    </xf>
    <xf numFmtId="0" fontId="25" fillId="0" borderId="34" xfId="57" applyNumberFormat="1" applyFont="1" applyFill="1" applyBorder="1" applyAlignment="1">
      <alignment horizontal="center" vertical="center"/>
    </xf>
    <xf numFmtId="168" fontId="25" fillId="0" borderId="21" xfId="57" applyNumberFormat="1" applyFont="1" applyFill="1" applyBorder="1" applyAlignment="1">
      <alignment horizontal="center" vertical="center"/>
    </xf>
    <xf numFmtId="0" fontId="25" fillId="0" borderId="29" xfId="53" applyFont="1" applyFill="1" applyBorder="1" applyAlignment="1" applyProtection="1">
      <alignment horizontal="justify" vertical="center" wrapText="1"/>
    </xf>
    <xf numFmtId="168" fontId="24" fillId="28" borderId="72" xfId="28" applyNumberFormat="1" applyFont="1" applyFill="1" applyBorder="1" applyAlignment="1">
      <alignment vertical="center"/>
    </xf>
    <xf numFmtId="15" fontId="24" fillId="0" borderId="51" xfId="57" applyNumberFormat="1" applyFont="1" applyFill="1" applyBorder="1" applyAlignment="1">
      <alignment horizontal="center" vertical="center"/>
    </xf>
    <xf numFmtId="15" fontId="26" fillId="0" borderId="21" xfId="57" applyNumberFormat="1" applyFont="1" applyFill="1" applyBorder="1" applyAlignment="1">
      <alignment vertical="center"/>
    </xf>
    <xf numFmtId="0" fontId="24" fillId="0" borderId="21" xfId="57" applyFont="1" applyFill="1" applyBorder="1" applyAlignment="1">
      <alignment horizontal="center" vertical="center"/>
    </xf>
    <xf numFmtId="168" fontId="25" fillId="0" borderId="50" xfId="28" applyNumberFormat="1" applyFont="1" applyFill="1" applyBorder="1" applyAlignment="1">
      <alignment vertical="center"/>
    </xf>
    <xf numFmtId="168" fontId="25" fillId="29" borderId="0" xfId="57" applyNumberFormat="1" applyFont="1" applyFill="1" applyBorder="1" applyAlignment="1">
      <alignment horizontal="center" vertical="center"/>
    </xf>
    <xf numFmtId="168" fontId="25" fillId="29" borderId="59" xfId="28" applyNumberFormat="1" applyFont="1" applyFill="1" applyBorder="1" applyAlignment="1">
      <alignment vertical="center"/>
    </xf>
    <xf numFmtId="168" fontId="25" fillId="29" borderId="0" xfId="28" applyNumberFormat="1" applyFont="1" applyFill="1" applyBorder="1" applyAlignment="1">
      <alignment vertical="center"/>
    </xf>
    <xf numFmtId="168" fontId="24" fillId="29" borderId="59" xfId="28" applyNumberFormat="1" applyFont="1" applyFill="1" applyBorder="1" applyAlignment="1">
      <alignment vertical="center"/>
    </xf>
    <xf numFmtId="0" fontId="24" fillId="29" borderId="68" xfId="57" applyFont="1" applyFill="1" applyBorder="1" applyAlignment="1">
      <alignment horizontal="center" vertical="center" wrapText="1"/>
    </xf>
    <xf numFmtId="168" fontId="25" fillId="29" borderId="70" xfId="57" applyNumberFormat="1" applyFont="1" applyFill="1" applyBorder="1" applyAlignment="1">
      <alignment horizontal="center" vertical="center"/>
    </xf>
    <xf numFmtId="168" fontId="25" fillId="29" borderId="64" xfId="57" applyNumberFormat="1" applyFont="1" applyFill="1" applyBorder="1" applyAlignment="1">
      <alignment horizontal="center" vertical="center"/>
    </xf>
    <xf numFmtId="168" fontId="24" fillId="29" borderId="68" xfId="28" applyNumberFormat="1" applyFont="1" applyFill="1" applyBorder="1" applyAlignment="1">
      <alignment vertical="center"/>
    </xf>
    <xf numFmtId="3" fontId="25" fillId="29" borderId="59" xfId="57" applyNumberFormat="1" applyFont="1" applyFill="1" applyBorder="1" applyAlignment="1">
      <alignment vertical="center"/>
    </xf>
    <xf numFmtId="3" fontId="24" fillId="29" borderId="59" xfId="57" applyNumberFormat="1" applyFont="1" applyFill="1" applyBorder="1" applyAlignment="1">
      <alignment vertical="center"/>
    </xf>
    <xf numFmtId="168" fontId="25" fillId="29" borderId="64" xfId="28" applyNumberFormat="1" applyFont="1" applyFill="1" applyBorder="1" applyAlignment="1">
      <alignment vertical="center"/>
    </xf>
    <xf numFmtId="168" fontId="24" fillId="0" borderId="34" xfId="28" applyNumberFormat="1" applyFont="1" applyFill="1" applyBorder="1" applyAlignment="1">
      <alignment vertical="center"/>
    </xf>
    <xf numFmtId="168" fontId="25" fillId="29" borderId="69" xfId="57" applyNumberFormat="1" applyFont="1" applyFill="1" applyBorder="1" applyAlignment="1">
      <alignment horizontal="center" vertical="center"/>
    </xf>
    <xf numFmtId="3" fontId="24" fillId="0" borderId="47" xfId="57" applyNumberFormat="1" applyFont="1" applyFill="1" applyBorder="1" applyAlignment="1">
      <alignment vertical="center"/>
    </xf>
    <xf numFmtId="3" fontId="24" fillId="29" borderId="0" xfId="57" applyNumberFormat="1" applyFont="1" applyFill="1" applyBorder="1" applyAlignment="1">
      <alignment vertical="center"/>
    </xf>
    <xf numFmtId="3" fontId="24" fillId="0" borderId="34" xfId="57" applyNumberFormat="1" applyFont="1" applyFill="1" applyBorder="1" applyAlignment="1">
      <alignment vertical="center"/>
    </xf>
    <xf numFmtId="3" fontId="24" fillId="0" borderId="21" xfId="57" applyNumberFormat="1" applyFont="1" applyFill="1" applyBorder="1" applyAlignment="1">
      <alignment vertical="center"/>
    </xf>
    <xf numFmtId="3" fontId="25" fillId="0" borderId="47" xfId="57" applyNumberFormat="1" applyFont="1" applyFill="1" applyBorder="1" applyAlignment="1">
      <alignment vertical="center"/>
    </xf>
    <xf numFmtId="164" fontId="25" fillId="0" borderId="0" xfId="57" applyNumberFormat="1" applyFont="1" applyFill="1" applyBorder="1" applyAlignment="1">
      <alignment vertical="center"/>
    </xf>
    <xf numFmtId="0" fontId="24" fillId="0" borderId="0" xfId="57" applyFont="1" applyFill="1" applyBorder="1" applyAlignment="1">
      <alignment vertical="center"/>
    </xf>
    <xf numFmtId="168" fontId="24" fillId="0" borderId="0" xfId="28" applyNumberFormat="1" applyFont="1" applyFill="1" applyBorder="1" applyAlignment="1">
      <alignment horizontal="center" vertical="center"/>
    </xf>
    <xf numFmtId="168" fontId="42" fillId="0" borderId="0" xfId="57" applyNumberFormat="1" applyFont="1" applyFill="1" applyBorder="1" applyAlignment="1">
      <alignment vertical="center"/>
    </xf>
    <xf numFmtId="168" fontId="24" fillId="0" borderId="0" xfId="57" applyNumberFormat="1" applyFont="1" applyFill="1" applyBorder="1" applyAlignment="1">
      <alignment vertical="center"/>
    </xf>
    <xf numFmtId="164" fontId="24" fillId="0" borderId="0" xfId="57" applyNumberFormat="1" applyFont="1" applyFill="1" applyBorder="1" applyAlignment="1">
      <alignment vertical="center"/>
    </xf>
    <xf numFmtId="0" fontId="24" fillId="0" borderId="0" xfId="57" applyFont="1" applyFill="1" applyBorder="1" applyAlignment="1">
      <alignment horizontal="justify" vertical="center" wrapText="1"/>
    </xf>
    <xf numFmtId="0" fontId="24" fillId="0" borderId="0" xfId="57" applyFont="1" applyBorder="1" applyAlignment="1">
      <alignment vertical="center"/>
    </xf>
    <xf numFmtId="0" fontId="24" fillId="0" borderId="0" xfId="57" applyFont="1" applyBorder="1" applyAlignment="1">
      <alignment horizontal="center" vertical="center"/>
    </xf>
    <xf numFmtId="0" fontId="42" fillId="0" borderId="0" xfId="57" applyFont="1" applyFill="1" applyBorder="1" applyAlignment="1">
      <alignment vertical="center"/>
    </xf>
    <xf numFmtId="0" fontId="24" fillId="0" borderId="0" xfId="57" applyFont="1" applyBorder="1" applyAlignment="1">
      <alignment horizontal="center" vertical="center" wrapText="1"/>
    </xf>
    <xf numFmtId="168" fontId="25" fillId="0" borderId="70" xfId="28" applyNumberFormat="1" applyFont="1" applyFill="1" applyBorder="1" applyAlignment="1">
      <alignment vertical="center"/>
    </xf>
    <xf numFmtId="0" fontId="45" fillId="0" borderId="0" xfId="57" applyFont="1" applyBorder="1" applyAlignment="1">
      <alignment vertical="center"/>
    </xf>
    <xf numFmtId="168" fontId="25" fillId="0" borderId="0" xfId="28" applyNumberFormat="1" applyFont="1" applyBorder="1" applyAlignment="1">
      <alignment vertical="center"/>
    </xf>
    <xf numFmtId="15" fontId="24" fillId="0" borderId="0" xfId="57" applyNumberFormat="1" applyFont="1" applyBorder="1" applyAlignment="1">
      <alignment vertical="center"/>
    </xf>
    <xf numFmtId="168" fontId="25" fillId="0" borderId="0" xfId="28" applyNumberFormat="1" applyFont="1" applyBorder="1" applyAlignment="1">
      <alignment horizontal="center" vertical="center"/>
    </xf>
    <xf numFmtId="168" fontId="25" fillId="0" borderId="20" xfId="28" applyNumberFormat="1" applyFont="1" applyBorder="1" applyAlignment="1">
      <alignment horizontal="center" vertical="center" wrapText="1"/>
    </xf>
    <xf numFmtId="168" fontId="25" fillId="0" borderId="26" xfId="28" applyNumberFormat="1" applyFont="1" applyFill="1" applyBorder="1" applyAlignment="1">
      <alignment horizontal="center" vertical="center"/>
    </xf>
    <xf numFmtId="168" fontId="25" fillId="0" borderId="66" xfId="28" applyNumberFormat="1" applyFont="1" applyBorder="1" applyAlignment="1">
      <alignment horizontal="center" vertical="center"/>
    </xf>
    <xf numFmtId="168" fontId="25" fillId="0" borderId="26" xfId="28" applyNumberFormat="1" applyFont="1" applyBorder="1" applyAlignment="1">
      <alignment horizontal="center" vertical="center"/>
    </xf>
    <xf numFmtId="168" fontId="25" fillId="0" borderId="41" xfId="28" applyNumberFormat="1" applyFont="1" applyFill="1" applyBorder="1" applyAlignment="1">
      <alignment horizontal="center" vertical="center"/>
    </xf>
    <xf numFmtId="168" fontId="25" fillId="0" borderId="41" xfId="28" applyNumberFormat="1" applyFont="1" applyBorder="1" applyAlignment="1">
      <alignment horizontal="center" vertical="center"/>
    </xf>
    <xf numFmtId="168" fontId="25" fillId="0" borderId="21" xfId="28" applyNumberFormat="1" applyFont="1" applyFill="1" applyBorder="1" applyAlignment="1">
      <alignment horizontal="center" vertical="center"/>
    </xf>
    <xf numFmtId="168" fontId="25" fillId="0" borderId="69" xfId="28" applyNumberFormat="1" applyFont="1" applyFill="1" applyBorder="1" applyAlignment="1">
      <alignment horizontal="center" vertical="center"/>
    </xf>
    <xf numFmtId="0" fontId="24" fillId="0" borderId="21" xfId="0" applyFont="1" applyFill="1" applyBorder="1" applyAlignment="1">
      <alignment horizontal="center" vertical="center"/>
    </xf>
    <xf numFmtId="0" fontId="24" fillId="0" borderId="21" xfId="0" applyFont="1" applyFill="1" applyBorder="1" applyAlignment="1">
      <alignment vertical="center" wrapText="1"/>
    </xf>
    <xf numFmtId="0" fontId="24" fillId="0" borderId="29" xfId="57" applyNumberFormat="1" applyFont="1" applyBorder="1" applyAlignment="1">
      <alignment horizontal="center" vertical="center"/>
    </xf>
    <xf numFmtId="15" fontId="32" fillId="0" borderId="20" xfId="57" applyNumberFormat="1" applyFont="1" applyFill="1" applyBorder="1" applyAlignment="1">
      <alignment vertical="center"/>
    </xf>
    <xf numFmtId="0" fontId="24" fillId="0" borderId="20" xfId="57" applyNumberFormat="1" applyFont="1" applyFill="1" applyBorder="1" applyAlignment="1">
      <alignment horizontal="justify" vertical="center" wrapText="1"/>
    </xf>
    <xf numFmtId="0" fontId="24" fillId="0" borderId="34" xfId="57" applyFont="1" applyBorder="1" applyAlignment="1">
      <alignment horizontal="center" vertical="center"/>
    </xf>
    <xf numFmtId="0" fontId="24" fillId="0" borderId="20" xfId="57" applyFont="1" applyFill="1" applyBorder="1" applyAlignment="1">
      <alignment horizontal="justify" vertical="center"/>
    </xf>
    <xf numFmtId="0" fontId="24" fillId="0" borderId="20" xfId="57" applyNumberFormat="1" applyFont="1" applyBorder="1" applyAlignment="1">
      <alignment horizontal="center" vertical="center"/>
    </xf>
    <xf numFmtId="0" fontId="24" fillId="0" borderId="0" xfId="57" applyFont="1" applyBorder="1" applyAlignment="1">
      <alignment vertical="center" wrapText="1"/>
    </xf>
    <xf numFmtId="168" fontId="24" fillId="30" borderId="65" xfId="28" applyNumberFormat="1" applyFont="1" applyFill="1" applyBorder="1" applyAlignment="1">
      <alignment vertical="center"/>
    </xf>
    <xf numFmtId="168" fontId="25" fillId="30" borderId="65" xfId="28" applyNumberFormat="1" applyFont="1" applyFill="1" applyBorder="1" applyAlignment="1">
      <alignment vertical="center"/>
    </xf>
    <xf numFmtId="168" fontId="24" fillId="0" borderId="0" xfId="57" applyNumberFormat="1" applyFont="1" applyFill="1" applyBorder="1" applyAlignment="1">
      <alignment horizontal="center" vertical="center"/>
    </xf>
    <xf numFmtId="168" fontId="24" fillId="30" borderId="73" xfId="57" applyNumberFormat="1" applyFont="1" applyFill="1" applyBorder="1" applyAlignment="1">
      <alignment horizontal="center" vertical="center"/>
    </xf>
    <xf numFmtId="0" fontId="24" fillId="31" borderId="61" xfId="57" applyFont="1" applyFill="1" applyBorder="1" applyAlignment="1">
      <alignment horizontal="center" vertical="center" wrapText="1"/>
    </xf>
    <xf numFmtId="0" fontId="24" fillId="31" borderId="20" xfId="57" applyFont="1" applyFill="1" applyBorder="1" applyAlignment="1">
      <alignment horizontal="center" vertical="center" wrapText="1"/>
    </xf>
    <xf numFmtId="168" fontId="24" fillId="31" borderId="20" xfId="28" applyNumberFormat="1" applyFont="1" applyFill="1" applyBorder="1" applyAlignment="1">
      <alignment horizontal="center" vertical="center" wrapText="1"/>
    </xf>
    <xf numFmtId="0" fontId="42" fillId="31" borderId="20" xfId="57" applyFont="1" applyFill="1" applyBorder="1" applyAlignment="1">
      <alignment horizontal="center" vertical="center" wrapText="1"/>
    </xf>
    <xf numFmtId="168" fontId="24" fillId="31" borderId="65" xfId="28" applyNumberFormat="1" applyFont="1" applyFill="1" applyBorder="1" applyAlignment="1">
      <alignment vertical="center"/>
    </xf>
    <xf numFmtId="168" fontId="24" fillId="31" borderId="72" xfId="28" applyNumberFormat="1" applyFont="1" applyFill="1" applyBorder="1" applyAlignment="1">
      <alignment vertical="center"/>
    </xf>
    <xf numFmtId="168" fontId="25" fillId="31" borderId="67" xfId="28" applyNumberFormat="1" applyFont="1" applyFill="1" applyBorder="1" applyAlignment="1">
      <alignment vertical="center"/>
    </xf>
    <xf numFmtId="168" fontId="24" fillId="31" borderId="67" xfId="28" applyNumberFormat="1" applyFont="1" applyFill="1" applyBorder="1" applyAlignment="1">
      <alignment vertical="center"/>
    </xf>
    <xf numFmtId="0" fontId="45" fillId="0" borderId="0" xfId="57" applyFont="1" applyFill="1" applyBorder="1" applyAlignment="1">
      <alignment vertical="center"/>
    </xf>
    <xf numFmtId="15" fontId="24" fillId="0" borderId="0" xfId="57" applyNumberFormat="1" applyFont="1" applyFill="1" applyBorder="1" applyAlignment="1">
      <alignment vertical="center"/>
    </xf>
    <xf numFmtId="0" fontId="21" fillId="0" borderId="0" xfId="0" applyFont="1" applyFill="1" applyBorder="1" applyAlignment="1">
      <alignment horizontal="center" vertical="center"/>
    </xf>
    <xf numFmtId="15" fontId="21" fillId="0" borderId="0" xfId="0" applyNumberFormat="1" applyFont="1" applyFill="1" applyBorder="1" applyAlignment="1">
      <alignment horizontal="center" vertical="center"/>
    </xf>
    <xf numFmtId="168" fontId="21" fillId="0" borderId="54" xfId="28" applyNumberFormat="1" applyFont="1" applyFill="1" applyBorder="1" applyAlignment="1">
      <alignment horizontal="center" vertical="center"/>
    </xf>
    <xf numFmtId="168" fontId="21" fillId="0" borderId="55" xfId="28" applyNumberFormat="1" applyFont="1" applyFill="1" applyBorder="1" applyAlignment="1">
      <alignment horizontal="center" vertical="center"/>
    </xf>
    <xf numFmtId="168" fontId="24" fillId="0" borderId="0" xfId="57" applyNumberFormat="1" applyFont="1" applyBorder="1" applyAlignment="1">
      <alignment horizontal="center" vertical="center" wrapText="1"/>
    </xf>
    <xf numFmtId="0" fontId="24" fillId="0" borderId="0" xfId="57" applyFont="1" applyBorder="1" applyAlignment="1">
      <alignment horizontal="center" vertical="center" wrapText="1"/>
    </xf>
    <xf numFmtId="0" fontId="25" fillId="0" borderId="18" xfId="57" applyFont="1" applyFill="1" applyBorder="1" applyAlignment="1">
      <alignment horizontal="left" vertical="center" wrapText="1"/>
    </xf>
    <xf numFmtId="0" fontId="25" fillId="0" borderId="19" xfId="57" applyFont="1" applyFill="1" applyBorder="1" applyAlignment="1">
      <alignment horizontal="left" vertical="center" wrapText="1"/>
    </xf>
    <xf numFmtId="0" fontId="24" fillId="0" borderId="18" xfId="57" applyFont="1" applyFill="1" applyBorder="1" applyAlignment="1">
      <alignment horizontal="left" vertical="center" wrapText="1"/>
    </xf>
    <xf numFmtId="0" fontId="24" fillId="0" borderId="19" xfId="57" applyFont="1" applyFill="1" applyBorder="1" applyAlignment="1">
      <alignment horizontal="left" vertical="center" wrapText="1"/>
    </xf>
    <xf numFmtId="0" fontId="24" fillId="28" borderId="56" xfId="57" applyFont="1" applyFill="1" applyBorder="1" applyAlignment="1">
      <alignment horizontal="center" vertical="center" wrapText="1"/>
    </xf>
    <xf numFmtId="0" fontId="24" fillId="28" borderId="57" xfId="57" applyFont="1" applyFill="1" applyBorder="1" applyAlignment="1">
      <alignment horizontal="center" vertical="center" wrapText="1"/>
    </xf>
    <xf numFmtId="0" fontId="24" fillId="28" borderId="17" xfId="57" applyFont="1" applyFill="1" applyBorder="1" applyAlignment="1">
      <alignment horizontal="center" vertical="center" wrapText="1"/>
    </xf>
    <xf numFmtId="17" fontId="24" fillId="28" borderId="15" xfId="57" applyNumberFormat="1" applyFont="1" applyFill="1" applyBorder="1" applyAlignment="1">
      <alignment horizontal="center" vertical="center" wrapText="1"/>
    </xf>
    <xf numFmtId="17" fontId="24" fillId="28" borderId="10" xfId="57" applyNumberFormat="1" applyFont="1" applyFill="1" applyBorder="1" applyAlignment="1">
      <alignment horizontal="center" vertical="center" wrapText="1"/>
    </xf>
    <xf numFmtId="17" fontId="24" fillId="28" borderId="11" xfId="57" applyNumberFormat="1" applyFont="1" applyFill="1" applyBorder="1" applyAlignment="1">
      <alignment horizontal="center" vertical="center" wrapText="1"/>
    </xf>
    <xf numFmtId="49" fontId="24" fillId="28" borderId="15" xfId="57" applyNumberFormat="1" applyFont="1" applyFill="1" applyBorder="1" applyAlignment="1">
      <alignment horizontal="center" vertical="center" wrapText="1"/>
    </xf>
    <xf numFmtId="49" fontId="24" fillId="28" borderId="10" xfId="57" applyNumberFormat="1" applyFont="1" applyFill="1" applyBorder="1" applyAlignment="1">
      <alignment horizontal="center" vertical="center" wrapText="1"/>
    </xf>
    <xf numFmtId="49" fontId="24" fillId="28" borderId="11" xfId="57" applyNumberFormat="1" applyFont="1" applyFill="1" applyBorder="1" applyAlignment="1">
      <alignment horizontal="center" vertical="center" wrapText="1"/>
    </xf>
    <xf numFmtId="49" fontId="24" fillId="28" borderId="12" xfId="57" applyNumberFormat="1" applyFont="1" applyFill="1" applyBorder="1" applyAlignment="1">
      <alignment horizontal="center" vertical="center" wrapText="1"/>
    </xf>
    <xf numFmtId="49" fontId="24" fillId="28" borderId="13" xfId="57" applyNumberFormat="1" applyFont="1" applyFill="1" applyBorder="1" applyAlignment="1">
      <alignment horizontal="center" vertical="center" wrapText="1"/>
    </xf>
    <xf numFmtId="49" fontId="24" fillId="28" borderId="14" xfId="57" applyNumberFormat="1" applyFont="1" applyFill="1" applyBorder="1" applyAlignment="1">
      <alignment horizontal="center" vertical="center" wrapText="1"/>
    </xf>
    <xf numFmtId="0" fontId="24" fillId="24" borderId="56" xfId="57" applyFont="1" applyFill="1" applyBorder="1" applyAlignment="1">
      <alignment horizontal="center" vertical="center" wrapText="1"/>
    </xf>
    <xf numFmtId="0" fontId="24" fillId="24" borderId="57" xfId="57" applyFont="1" applyFill="1" applyBorder="1" applyAlignment="1">
      <alignment horizontal="center" vertical="center" wrapText="1"/>
    </xf>
    <xf numFmtId="0" fontId="24" fillId="24" borderId="17" xfId="57" applyFont="1" applyFill="1" applyBorder="1" applyAlignment="1">
      <alignment horizontal="center" vertical="center" wrapText="1"/>
    </xf>
    <xf numFmtId="168" fontId="33" fillId="24" borderId="56" xfId="28" applyNumberFormat="1" applyFont="1" applyFill="1" applyBorder="1" applyAlignment="1">
      <alignment horizontal="center" vertical="center" wrapText="1"/>
    </xf>
    <xf numFmtId="168" fontId="33" fillId="24" borderId="57" xfId="28" applyNumberFormat="1" applyFont="1" applyFill="1" applyBorder="1" applyAlignment="1">
      <alignment horizontal="center" vertical="center" wrapText="1"/>
    </xf>
    <xf numFmtId="168" fontId="33" fillId="24" borderId="17" xfId="28" applyNumberFormat="1" applyFont="1" applyFill="1" applyBorder="1" applyAlignment="1">
      <alignment horizontal="center" vertical="center" wrapText="1"/>
    </xf>
    <xf numFmtId="0" fontId="24" fillId="28" borderId="18" xfId="57" applyFont="1" applyFill="1" applyBorder="1" applyAlignment="1">
      <alignment horizontal="center" vertical="center"/>
    </xf>
    <xf numFmtId="0" fontId="24" fillId="28" borderId="19" xfId="57" applyFont="1" applyFill="1" applyBorder="1" applyAlignment="1">
      <alignment horizontal="center" vertical="center"/>
    </xf>
  </cellXfs>
  <cellStyles count="9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10" xfId="89"/>
    <cellStyle name="Comma 15" xfId="29"/>
    <cellStyle name="Comma 2" xfId="30"/>
    <cellStyle name="Comma 2 2 2" xfId="31"/>
    <cellStyle name="Comma 3" xfId="32"/>
    <cellStyle name="Comma 3 2" xfId="33"/>
    <cellStyle name="Comma 4" xfId="34"/>
    <cellStyle name="Comma 4 10" xfId="35"/>
    <cellStyle name="Comma 4 11" xfId="36"/>
    <cellStyle name="Comma 4 12" xfId="37"/>
    <cellStyle name="Comma 4 2" xfId="38"/>
    <cellStyle name="Comma 4 3" xfId="39"/>
    <cellStyle name="Comma 4 4" xfId="40"/>
    <cellStyle name="Comma 4 5" xfId="41"/>
    <cellStyle name="Comma 4 6" xfId="42"/>
    <cellStyle name="Comma 4 7" xfId="43"/>
    <cellStyle name="Comma 4 8" xfId="44"/>
    <cellStyle name="Comma 4 9" xfId="45"/>
    <cellStyle name="Currency 2 3" xfId="46"/>
    <cellStyle name="Explanatory Text" xfId="47" builtinId="53" customBuiltin="1"/>
    <cellStyle name="Good" xfId="48" builtinId="26" customBuiltin="1"/>
    <cellStyle name="Heading 1" xfId="49" builtinId="16" customBuiltin="1"/>
    <cellStyle name="Heading 2" xfId="50" builtinId="17" customBuiltin="1"/>
    <cellStyle name="Heading 3" xfId="51" builtinId="18" customBuiltin="1"/>
    <cellStyle name="Heading 4" xfId="52" builtinId="19" customBuiltin="1"/>
    <cellStyle name="Hyperlink" xfId="53" builtinId="8"/>
    <cellStyle name="Input" xfId="54" builtinId="20" customBuiltin="1"/>
    <cellStyle name="Linked Cell" xfId="55" builtinId="24" customBuiltin="1"/>
    <cellStyle name="Neutral" xfId="56" builtinId="28" customBuiltin="1"/>
    <cellStyle name="Normal" xfId="0" builtinId="0"/>
    <cellStyle name="Normal 2" xfId="57"/>
    <cellStyle name="Normal 3" xfId="58"/>
    <cellStyle name="Note" xfId="59" builtinId="10" customBuiltin="1"/>
    <cellStyle name="Note 10" xfId="60"/>
    <cellStyle name="Note 10 2" xfId="61"/>
    <cellStyle name="Note 11" xfId="62"/>
    <cellStyle name="Note 11 2" xfId="63"/>
    <cellStyle name="Note 12" xfId="64"/>
    <cellStyle name="Note 12 2" xfId="65"/>
    <cellStyle name="Note 13" xfId="66"/>
    <cellStyle name="Note 2" xfId="67"/>
    <cellStyle name="Note 2 2" xfId="68"/>
    <cellStyle name="Note 3" xfId="69"/>
    <cellStyle name="Note 3 2" xfId="70"/>
    <cellStyle name="Note 4" xfId="71"/>
    <cellStyle name="Note 4 2" xfId="72"/>
    <cellStyle name="Note 5" xfId="73"/>
    <cellStyle name="Note 5 2" xfId="74"/>
    <cellStyle name="Note 6" xfId="75"/>
    <cellStyle name="Note 6 2" xfId="76"/>
    <cellStyle name="Note 7" xfId="77"/>
    <cellStyle name="Note 7 2" xfId="78"/>
    <cellStyle name="Note 8" xfId="79"/>
    <cellStyle name="Note 8 2" xfId="80"/>
    <cellStyle name="Note 9" xfId="81"/>
    <cellStyle name="Note 9 2" xfId="82"/>
    <cellStyle name="Output" xfId="83" builtinId="21" customBuiltin="1"/>
    <cellStyle name="Percent" xfId="84" builtinId="5"/>
    <cellStyle name="Percent 2" xfId="85"/>
    <cellStyle name="Title" xfId="86" builtinId="15" customBuiltin="1"/>
    <cellStyle name="Total" xfId="87" builtinId="25" customBuiltin="1"/>
    <cellStyle name="Warning Text" xfId="88" builtinId="11" customBuiltin="1"/>
  </cellStyles>
  <dxfs count="0"/>
  <tableStyles count="0" defaultTableStyle="TableStyleMedium9" defaultPivotStyle="PivotStyleLight16"/>
  <colors>
    <mruColors>
      <color rgb="FF5B9BD5"/>
      <color rgb="FFFFFFCC"/>
      <color rgb="FF99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8"/>
  <sheetViews>
    <sheetView view="pageBreakPreview" zoomScale="70" zoomScaleNormal="100" zoomScaleSheetLayoutView="70" workbookViewId="0">
      <pane xSplit="2" ySplit="5" topLeftCell="C27" activePane="bottomRight" state="frozen"/>
      <selection pane="topRight" activeCell="C1" sqref="C1"/>
      <selection pane="bottomLeft" activeCell="A6" sqref="A6"/>
      <selection pane="bottomRight" activeCell="J31" sqref="J31:J32"/>
    </sheetView>
  </sheetViews>
  <sheetFormatPr defaultColWidth="9.109375" defaultRowHeight="13.2" x14ac:dyDescent="0.25"/>
  <cols>
    <col min="1" max="1" width="7" style="102" customWidth="1"/>
    <col min="2" max="2" width="36.33203125" style="65" customWidth="1"/>
    <col min="3" max="3" width="6.6640625" style="102" customWidth="1"/>
    <col min="4" max="4" width="13.6640625" style="102" hidden="1" customWidth="1"/>
    <col min="5" max="5" width="12.44140625" style="102" hidden="1" customWidth="1"/>
    <col min="6" max="7" width="11.33203125" style="65" bestFit="1" customWidth="1"/>
    <col min="8" max="8" width="17.109375" style="65" customWidth="1"/>
    <col min="9" max="9" width="10.33203125" style="65" customWidth="1"/>
    <col min="10" max="10" width="11.44140625" style="3" bestFit="1" customWidth="1"/>
    <col min="11" max="11" width="9" style="95" customWidth="1"/>
    <col min="12" max="12" width="9.44140625" style="65" bestFit="1" customWidth="1"/>
    <col min="13" max="13" width="7.109375" style="4" customWidth="1"/>
    <col min="14" max="14" width="46.6640625" style="24" customWidth="1"/>
    <col min="15" max="15" width="33.33203125" style="65" customWidth="1"/>
    <col min="16" max="16384" width="9.109375" style="65"/>
  </cols>
  <sheetData>
    <row r="1" spans="1:14" ht="11.1" customHeight="1" x14ac:dyDescent="0.25">
      <c r="A1" s="445" t="s">
        <v>132</v>
      </c>
      <c r="B1" s="445"/>
      <c r="C1" s="445"/>
      <c r="D1" s="445"/>
      <c r="E1" s="445"/>
      <c r="F1" s="445"/>
      <c r="G1" s="445"/>
      <c r="H1" s="445"/>
      <c r="I1" s="445"/>
      <c r="J1" s="445"/>
      <c r="K1" s="445"/>
      <c r="L1" s="445"/>
      <c r="M1" s="445"/>
      <c r="N1" s="445"/>
    </row>
    <row r="2" spans="1:14" x14ac:dyDescent="0.25">
      <c r="A2" s="445" t="s">
        <v>123</v>
      </c>
      <c r="B2" s="445"/>
      <c r="C2" s="445"/>
      <c r="D2" s="445"/>
      <c r="E2" s="445"/>
      <c r="F2" s="445"/>
      <c r="G2" s="445"/>
      <c r="H2" s="445"/>
      <c r="I2" s="445"/>
      <c r="J2" s="445"/>
      <c r="K2" s="445"/>
      <c r="L2" s="445"/>
      <c r="M2" s="445"/>
      <c r="N2" s="445"/>
    </row>
    <row r="3" spans="1:14" x14ac:dyDescent="0.25">
      <c r="A3" s="446">
        <v>40840</v>
      </c>
      <c r="B3" s="446"/>
      <c r="C3" s="446"/>
      <c r="D3" s="446"/>
      <c r="E3" s="446"/>
      <c r="F3" s="446"/>
      <c r="G3" s="446"/>
      <c r="H3" s="446"/>
      <c r="I3" s="446"/>
      <c r="J3" s="446"/>
      <c r="K3" s="446"/>
      <c r="L3" s="446"/>
      <c r="M3" s="446"/>
      <c r="N3" s="446"/>
    </row>
    <row r="4" spans="1:14" ht="25.5" customHeight="1" thickBot="1" x14ac:dyDescent="0.3">
      <c r="A4" s="64"/>
      <c r="B4" s="25"/>
      <c r="C4" s="4"/>
      <c r="D4" s="4"/>
      <c r="E4" s="4"/>
      <c r="F4" s="25"/>
      <c r="G4" s="25"/>
      <c r="H4" s="25"/>
      <c r="I4" s="25"/>
      <c r="L4" s="25"/>
    </row>
    <row r="5" spans="1:14" s="70" customFormat="1" ht="39.75" customHeight="1" x14ac:dyDescent="0.25">
      <c r="A5" s="67" t="s">
        <v>0</v>
      </c>
      <c r="B5" s="67" t="s">
        <v>1</v>
      </c>
      <c r="C5" s="115" t="s">
        <v>54</v>
      </c>
      <c r="D5" s="121" t="s">
        <v>120</v>
      </c>
      <c r="E5" s="122" t="s">
        <v>121</v>
      </c>
      <c r="F5" s="137" t="s">
        <v>55</v>
      </c>
      <c r="G5" s="143" t="s">
        <v>110</v>
      </c>
      <c r="H5" s="151" t="s">
        <v>126</v>
      </c>
      <c r="I5" s="68" t="s">
        <v>127</v>
      </c>
      <c r="J5" s="69" t="s">
        <v>2</v>
      </c>
      <c r="K5" s="205" t="s">
        <v>137</v>
      </c>
      <c r="L5" s="68" t="s">
        <v>3</v>
      </c>
      <c r="M5" s="67" t="s">
        <v>4</v>
      </c>
      <c r="N5" s="67" t="s">
        <v>5</v>
      </c>
    </row>
    <row r="6" spans="1:14" ht="15.9" customHeight="1" x14ac:dyDescent="0.25">
      <c r="A6" s="52"/>
      <c r="B6" s="37"/>
      <c r="C6" s="116"/>
      <c r="D6" s="123"/>
      <c r="E6" s="140"/>
      <c r="F6" s="138"/>
      <c r="G6" s="144"/>
      <c r="H6" s="152"/>
      <c r="I6" s="71"/>
      <c r="J6" s="72"/>
      <c r="K6" s="194"/>
      <c r="L6" s="132"/>
      <c r="M6" s="73"/>
      <c r="N6" s="58"/>
    </row>
    <row r="7" spans="1:14" ht="15.9" customHeight="1" x14ac:dyDescent="0.25">
      <c r="A7" s="168">
        <v>1</v>
      </c>
      <c r="B7" s="31" t="s">
        <v>61</v>
      </c>
      <c r="C7" s="117"/>
      <c r="D7" s="124"/>
      <c r="E7" s="141"/>
      <c r="F7" s="139"/>
      <c r="G7" s="145"/>
      <c r="H7" s="153"/>
      <c r="I7" s="76"/>
      <c r="J7" s="76"/>
      <c r="K7" s="195"/>
      <c r="L7" s="132"/>
      <c r="M7" s="73"/>
      <c r="N7" s="77"/>
    </row>
    <row r="8" spans="1:14" ht="28.5" customHeight="1" x14ac:dyDescent="0.25">
      <c r="A8" s="45" t="s">
        <v>98</v>
      </c>
      <c r="B8" s="32" t="s">
        <v>158</v>
      </c>
      <c r="C8" s="47">
        <v>2011</v>
      </c>
      <c r="D8" s="125"/>
      <c r="E8" s="142"/>
      <c r="F8" s="48">
        <f>1000000-73641</f>
        <v>926359</v>
      </c>
      <c r="G8" s="146">
        <f>F8-H8</f>
        <v>390674.72</v>
      </c>
      <c r="H8" s="154">
        <v>535684.28</v>
      </c>
      <c r="I8" s="78">
        <f>+H8-J8</f>
        <v>535684.28</v>
      </c>
      <c r="J8" s="78">
        <v>0</v>
      </c>
      <c r="K8" s="196"/>
      <c r="L8" s="133">
        <v>40779</v>
      </c>
      <c r="M8" s="73" t="s">
        <v>66</v>
      </c>
      <c r="N8" s="58" t="s">
        <v>134</v>
      </c>
    </row>
    <row r="9" spans="1:14" ht="27.75" customHeight="1" x14ac:dyDescent="0.25">
      <c r="A9" s="45" t="s">
        <v>111</v>
      </c>
      <c r="B9" s="55" t="s">
        <v>118</v>
      </c>
      <c r="C9" s="47">
        <v>2011</v>
      </c>
      <c r="D9" s="113">
        <f>F9</f>
        <v>320735</v>
      </c>
      <c r="E9" s="47"/>
      <c r="F9" s="49">
        <f>500000-179265</f>
        <v>320735</v>
      </c>
      <c r="G9" s="146">
        <f>F9-H9</f>
        <v>288984.92</v>
      </c>
      <c r="H9" s="154">
        <v>31750.080000000002</v>
      </c>
      <c r="I9" s="78">
        <f>+H9-J9</f>
        <v>0</v>
      </c>
      <c r="J9" s="78">
        <v>31750.080000000002</v>
      </c>
      <c r="K9" s="196"/>
      <c r="L9" s="133"/>
      <c r="M9" s="73" t="s">
        <v>66</v>
      </c>
      <c r="N9" s="58" t="s">
        <v>135</v>
      </c>
    </row>
    <row r="10" spans="1:14" ht="18" customHeight="1" x14ac:dyDescent="0.25">
      <c r="A10" s="52"/>
      <c r="B10" s="37"/>
      <c r="C10" s="116"/>
      <c r="D10" s="123"/>
      <c r="E10" s="116"/>
      <c r="F10" s="173">
        <f>SUM(F8:F9)</f>
        <v>1247094</v>
      </c>
      <c r="G10" s="147">
        <f>SUM(G8:G9)</f>
        <v>679659.6399999999</v>
      </c>
      <c r="H10" s="155">
        <f>SUM(H8:H9)</f>
        <v>567434.36</v>
      </c>
      <c r="I10" s="79">
        <f>SUM(I8:I9)</f>
        <v>535684.28</v>
      </c>
      <c r="J10" s="50">
        <f>SUM(J8:J9)</f>
        <v>31750.080000000002</v>
      </c>
      <c r="K10" s="197"/>
      <c r="L10" s="132"/>
      <c r="M10" s="73"/>
      <c r="N10" s="58"/>
    </row>
    <row r="11" spans="1:14" ht="15.9" customHeight="1" x14ac:dyDescent="0.25">
      <c r="A11" s="52"/>
      <c r="B11" s="37"/>
      <c r="C11" s="116"/>
      <c r="D11" s="123"/>
      <c r="E11" s="116"/>
      <c r="F11" s="174"/>
      <c r="G11" s="144"/>
      <c r="H11" s="152"/>
      <c r="I11" s="71"/>
      <c r="J11" s="72"/>
      <c r="K11" s="194"/>
      <c r="L11" s="132"/>
      <c r="M11" s="73"/>
      <c r="N11" s="58"/>
    </row>
    <row r="12" spans="1:14" ht="21.6" customHeight="1" x14ac:dyDescent="0.25">
      <c r="A12" s="86">
        <v>2</v>
      </c>
      <c r="B12" s="80" t="s">
        <v>7</v>
      </c>
      <c r="C12" s="116"/>
      <c r="D12" s="123"/>
      <c r="E12" s="116"/>
      <c r="F12" s="175"/>
      <c r="G12" s="144"/>
      <c r="H12" s="152"/>
      <c r="I12" s="71"/>
      <c r="J12" s="72"/>
      <c r="K12" s="194"/>
      <c r="L12" s="132"/>
      <c r="M12" s="73"/>
      <c r="N12" s="58"/>
    </row>
    <row r="13" spans="1:14" ht="28.5" customHeight="1" x14ac:dyDescent="0.25">
      <c r="A13" s="52" t="s">
        <v>116</v>
      </c>
      <c r="B13" s="58" t="s">
        <v>143</v>
      </c>
      <c r="C13" s="118">
        <v>2010</v>
      </c>
      <c r="D13" s="126"/>
      <c r="E13" s="170">
        <f>H13</f>
        <v>36555</v>
      </c>
      <c r="F13" s="175">
        <f>2445352+138909-17059</f>
        <v>2567202</v>
      </c>
      <c r="G13" s="146">
        <f>F13-H13</f>
        <v>2530647</v>
      </c>
      <c r="H13" s="154">
        <v>36555</v>
      </c>
      <c r="I13" s="78" t="e">
        <f>#N/A</f>
        <v>#N/A</v>
      </c>
      <c r="J13" s="49">
        <v>0</v>
      </c>
      <c r="K13" s="196"/>
      <c r="L13" s="133">
        <v>40772</v>
      </c>
      <c r="M13" s="73" t="s">
        <v>64</v>
      </c>
      <c r="N13" s="58" t="s">
        <v>133</v>
      </c>
    </row>
    <row r="14" spans="1:14" ht="66" x14ac:dyDescent="0.25">
      <c r="A14" s="43" t="s">
        <v>16</v>
      </c>
      <c r="B14" s="34" t="s">
        <v>73</v>
      </c>
      <c r="C14" s="47">
        <v>2011</v>
      </c>
      <c r="D14" s="47"/>
      <c r="E14" s="169">
        <f>F14</f>
        <v>3497733</v>
      </c>
      <c r="F14" s="49">
        <f>4100000-9630-145000-447637</f>
        <v>3497733</v>
      </c>
      <c r="G14" s="146">
        <f>F14-H14</f>
        <v>3539.7099999999627</v>
      </c>
      <c r="H14" s="154">
        <v>3494193.29</v>
      </c>
      <c r="I14" s="78" t="e">
        <f>#N/A</f>
        <v>#N/A</v>
      </c>
      <c r="J14" s="49">
        <v>1747096.49</v>
      </c>
      <c r="K14" s="196"/>
      <c r="L14" s="191">
        <v>40836</v>
      </c>
      <c r="M14" s="73" t="s">
        <v>62</v>
      </c>
      <c r="N14" s="58" t="s">
        <v>144</v>
      </c>
    </row>
    <row r="15" spans="1:14" ht="40.5" customHeight="1" x14ac:dyDescent="0.25">
      <c r="A15" s="43" t="s">
        <v>17</v>
      </c>
      <c r="B15" s="33" t="s">
        <v>72</v>
      </c>
      <c r="C15" s="47">
        <v>2011</v>
      </c>
      <c r="D15" s="47"/>
      <c r="E15" s="169">
        <f>F15</f>
        <v>1285759</v>
      </c>
      <c r="F15" s="49">
        <f>1031200+9630+244929</f>
        <v>1285759</v>
      </c>
      <c r="G15" s="146">
        <f>F15-H15</f>
        <v>665078.59</v>
      </c>
      <c r="H15" s="156">
        <v>620680.41</v>
      </c>
      <c r="I15" s="78" t="e">
        <f>#N/A</f>
        <v>#N/A</v>
      </c>
      <c r="J15" s="78">
        <v>0</v>
      </c>
      <c r="K15" s="196"/>
      <c r="L15" s="191">
        <v>40836</v>
      </c>
      <c r="M15" s="73" t="s">
        <v>62</v>
      </c>
      <c r="N15" s="58" t="s">
        <v>133</v>
      </c>
    </row>
    <row r="16" spans="1:14" ht="23.25" customHeight="1" x14ac:dyDescent="0.25">
      <c r="A16" s="43" t="s">
        <v>99</v>
      </c>
      <c r="B16" s="33" t="s">
        <v>67</v>
      </c>
      <c r="C16" s="47">
        <v>2011</v>
      </c>
      <c r="D16" s="113"/>
      <c r="E16" s="169">
        <f>F16</f>
        <v>307218</v>
      </c>
      <c r="F16" s="49">
        <f>380000-72782</f>
        <v>307218</v>
      </c>
      <c r="G16" s="146" t="e">
        <f>#N/A</f>
        <v>#N/A</v>
      </c>
      <c r="H16" s="154">
        <v>100000.4</v>
      </c>
      <c r="I16" s="78" t="e">
        <f>#N/A</f>
        <v>#N/A</v>
      </c>
      <c r="J16" s="78">
        <v>0</v>
      </c>
      <c r="K16" s="196"/>
      <c r="L16" s="133">
        <v>40770</v>
      </c>
      <c r="M16" s="73" t="s">
        <v>62</v>
      </c>
      <c r="N16" s="58" t="s">
        <v>133</v>
      </c>
    </row>
    <row r="17" spans="1:15" ht="21" customHeight="1" x14ac:dyDescent="0.25">
      <c r="A17" s="43" t="s">
        <v>100</v>
      </c>
      <c r="B17" s="33" t="s">
        <v>68</v>
      </c>
      <c r="C17" s="47">
        <v>2011</v>
      </c>
      <c r="D17" s="113">
        <f>F17</f>
        <v>119780</v>
      </c>
      <c r="E17" s="54"/>
      <c r="F17" s="49">
        <f>75000+76000-31220</f>
        <v>119780</v>
      </c>
      <c r="G17" s="146" t="e">
        <f>#N/A</f>
        <v>#N/A</v>
      </c>
      <c r="H17" s="154">
        <v>12500.73</v>
      </c>
      <c r="I17" s="78">
        <f>+H17-J17</f>
        <v>12500.73</v>
      </c>
      <c r="J17" s="78">
        <v>0</v>
      </c>
      <c r="K17" s="196"/>
      <c r="L17" s="133">
        <v>40753</v>
      </c>
      <c r="M17" s="73" t="s">
        <v>62</v>
      </c>
      <c r="N17" s="58" t="s">
        <v>133</v>
      </c>
    </row>
    <row r="18" spans="1:15" ht="22.5" customHeight="1" x14ac:dyDescent="0.25">
      <c r="A18" s="43" t="s">
        <v>101</v>
      </c>
      <c r="B18" s="33" t="s">
        <v>117</v>
      </c>
      <c r="C18" s="47">
        <v>2011</v>
      </c>
      <c r="D18" s="113"/>
      <c r="E18" s="169">
        <f>F18</f>
        <v>614218</v>
      </c>
      <c r="F18" s="49">
        <f>760000-76000-69782</f>
        <v>614218</v>
      </c>
      <c r="G18" s="146" t="e">
        <f>#N/A</f>
        <v>#N/A</v>
      </c>
      <c r="H18" s="156">
        <v>210568.83</v>
      </c>
      <c r="I18" s="78" t="e">
        <f>#N/A</f>
        <v>#N/A</v>
      </c>
      <c r="J18" s="78">
        <v>54342.51</v>
      </c>
      <c r="K18" s="196"/>
      <c r="L18" s="191">
        <v>40814</v>
      </c>
      <c r="M18" s="73" t="s">
        <v>62</v>
      </c>
      <c r="N18" s="58" t="s">
        <v>133</v>
      </c>
    </row>
    <row r="19" spans="1:15" ht="78.75" customHeight="1" x14ac:dyDescent="0.25">
      <c r="A19" s="43" t="s">
        <v>102</v>
      </c>
      <c r="B19" s="33" t="s">
        <v>69</v>
      </c>
      <c r="C19" s="47">
        <v>2011</v>
      </c>
      <c r="D19" s="113">
        <f>F19</f>
        <v>500000</v>
      </c>
      <c r="E19" s="54"/>
      <c r="F19" s="49">
        <v>500000</v>
      </c>
      <c r="G19" s="146" t="e">
        <f>#N/A</f>
        <v>#N/A</v>
      </c>
      <c r="H19" s="156">
        <v>497782.4</v>
      </c>
      <c r="I19" s="78" t="e">
        <f>#N/A</f>
        <v>#N/A</v>
      </c>
      <c r="J19" s="78">
        <v>496151.54</v>
      </c>
      <c r="K19" s="196"/>
      <c r="L19" s="191">
        <v>40812</v>
      </c>
      <c r="M19" s="73" t="s">
        <v>62</v>
      </c>
      <c r="N19" s="58" t="s">
        <v>145</v>
      </c>
    </row>
    <row r="20" spans="1:15" ht="52.8" x14ac:dyDescent="0.25">
      <c r="A20" s="43" t="s">
        <v>103</v>
      </c>
      <c r="B20" s="33" t="s">
        <v>70</v>
      </c>
      <c r="C20" s="47">
        <v>2011</v>
      </c>
      <c r="D20" s="113"/>
      <c r="E20" s="169">
        <f>F20</f>
        <v>900000</v>
      </c>
      <c r="F20" s="49">
        <f>1000000-100000</f>
        <v>900000</v>
      </c>
      <c r="G20" s="146" t="e">
        <f>#N/A</f>
        <v>#N/A</v>
      </c>
      <c r="H20" s="156">
        <v>544667.74</v>
      </c>
      <c r="I20" s="78" t="e">
        <f>#N/A</f>
        <v>#N/A</v>
      </c>
      <c r="J20" s="78">
        <v>135153.73000000001</v>
      </c>
      <c r="K20" s="196"/>
      <c r="L20" s="133">
        <v>40784</v>
      </c>
      <c r="M20" s="73" t="s">
        <v>62</v>
      </c>
      <c r="N20" s="58" t="s">
        <v>146</v>
      </c>
    </row>
    <row r="21" spans="1:15" ht="158.4" x14ac:dyDescent="0.25">
      <c r="A21" s="43" t="s">
        <v>104</v>
      </c>
      <c r="B21" s="33" t="s">
        <v>71</v>
      </c>
      <c r="C21" s="47">
        <v>2011</v>
      </c>
      <c r="D21" s="113">
        <f>F21</f>
        <v>624987</v>
      </c>
      <c r="E21" s="54"/>
      <c r="F21" s="49">
        <f>440000+184987</f>
        <v>624987</v>
      </c>
      <c r="G21" s="146" t="e">
        <f>#N/A</f>
        <v>#N/A</v>
      </c>
      <c r="H21" s="156">
        <v>619229.68999999994</v>
      </c>
      <c r="I21" s="78" t="e">
        <f>#N/A</f>
        <v>#N/A</v>
      </c>
      <c r="J21" s="78">
        <v>309614.3</v>
      </c>
      <c r="K21" s="196"/>
      <c r="L21" s="191">
        <v>40806</v>
      </c>
      <c r="M21" s="73" t="s">
        <v>62</v>
      </c>
      <c r="N21" s="58" t="s">
        <v>147</v>
      </c>
    </row>
    <row r="22" spans="1:15" ht="79.2" x14ac:dyDescent="0.25">
      <c r="A22" s="43" t="s">
        <v>105</v>
      </c>
      <c r="B22" s="33" t="s">
        <v>122</v>
      </c>
      <c r="C22" s="54">
        <v>2011</v>
      </c>
      <c r="D22" s="47"/>
      <c r="E22" s="171">
        <f>F22</f>
        <v>242600</v>
      </c>
      <c r="F22" s="177">
        <f>166500+67400+8700</f>
        <v>242600</v>
      </c>
      <c r="G22" s="146" t="e">
        <f>#N/A</f>
        <v>#N/A</v>
      </c>
      <c r="H22" s="156">
        <v>179920.28</v>
      </c>
      <c r="I22" s="78" t="e">
        <f>#N/A</f>
        <v>#N/A</v>
      </c>
      <c r="J22" s="78">
        <v>179920.28</v>
      </c>
      <c r="K22" s="196"/>
      <c r="L22" s="57"/>
      <c r="M22" s="73" t="s">
        <v>62</v>
      </c>
      <c r="N22" s="58" t="s">
        <v>148</v>
      </c>
    </row>
    <row r="23" spans="1:15" ht="24" customHeight="1" x14ac:dyDescent="0.25">
      <c r="A23" s="52"/>
      <c r="B23" s="37"/>
      <c r="C23" s="116"/>
      <c r="D23" s="123"/>
      <c r="E23" s="116"/>
      <c r="F23" s="178">
        <f>SUM(F13:F22)</f>
        <v>10659497</v>
      </c>
      <c r="G23" s="147" t="e">
        <f>SUM(G13:G22)</f>
        <v>#N/A</v>
      </c>
      <c r="H23" s="155">
        <f>SUM(H13:H22)</f>
        <v>6316098.7700000023</v>
      </c>
      <c r="I23" s="79" t="e">
        <f>SUM(I13:I22)</f>
        <v>#N/A</v>
      </c>
      <c r="J23" s="50">
        <f>SUM(J13:J22)</f>
        <v>2922278.8499999996</v>
      </c>
      <c r="K23" s="197"/>
      <c r="L23" s="132"/>
      <c r="M23" s="73"/>
      <c r="N23" s="58"/>
    </row>
    <row r="24" spans="1:15" ht="24" customHeight="1" x14ac:dyDescent="0.25">
      <c r="A24" s="52"/>
      <c r="B24" s="37"/>
      <c r="C24" s="116"/>
      <c r="D24" s="167"/>
      <c r="E24" s="116"/>
      <c r="F24" s="173"/>
      <c r="G24" s="147"/>
      <c r="H24" s="155"/>
      <c r="I24" s="79"/>
      <c r="J24" s="50"/>
      <c r="K24" s="197"/>
      <c r="L24" s="132"/>
      <c r="M24" s="73"/>
      <c r="N24" s="58"/>
    </row>
    <row r="25" spans="1:15" ht="24" customHeight="1" x14ac:dyDescent="0.25">
      <c r="A25" s="28">
        <v>3</v>
      </c>
      <c r="B25" s="31" t="s">
        <v>75</v>
      </c>
      <c r="C25" s="40"/>
      <c r="D25" s="40"/>
      <c r="E25" s="114"/>
      <c r="F25" s="51"/>
      <c r="G25" s="147"/>
      <c r="H25" s="155"/>
      <c r="I25" s="79"/>
      <c r="J25" s="50"/>
      <c r="K25" s="197"/>
      <c r="L25" s="132"/>
      <c r="M25" s="73"/>
      <c r="N25" s="58"/>
    </row>
    <row r="26" spans="1:15" ht="52.8" x14ac:dyDescent="0.25">
      <c r="A26" s="43" t="s">
        <v>90</v>
      </c>
      <c r="B26" s="35" t="s">
        <v>74</v>
      </c>
      <c r="C26" s="47">
        <v>2011</v>
      </c>
      <c r="D26" s="113">
        <f>F26</f>
        <v>100000</v>
      </c>
      <c r="E26" s="54"/>
      <c r="F26" s="49">
        <v>100000</v>
      </c>
      <c r="G26" s="146">
        <f>F26-H26</f>
        <v>0</v>
      </c>
      <c r="H26" s="154">
        <v>100000</v>
      </c>
      <c r="I26" s="78">
        <f>+H26-J26</f>
        <v>96875</v>
      </c>
      <c r="J26" s="49">
        <v>3125</v>
      </c>
      <c r="K26" s="203"/>
      <c r="L26" s="132">
        <v>40794</v>
      </c>
      <c r="M26" s="73" t="s">
        <v>53</v>
      </c>
      <c r="N26" s="58" t="s">
        <v>149</v>
      </c>
    </row>
    <row r="27" spans="1:15" ht="24" customHeight="1" x14ac:dyDescent="0.25">
      <c r="A27" s="27"/>
      <c r="B27" s="26"/>
      <c r="C27" s="40"/>
      <c r="D27" s="40"/>
      <c r="E27" s="114"/>
      <c r="F27" s="50">
        <f>SUM(F26)</f>
        <v>100000</v>
      </c>
      <c r="G27" s="147">
        <f>SUM(G26)</f>
        <v>0</v>
      </c>
      <c r="H27" s="155">
        <f>SUM(H26)</f>
        <v>100000</v>
      </c>
      <c r="I27" s="79">
        <f>SUM(I26)</f>
        <v>96875</v>
      </c>
      <c r="J27" s="50">
        <f>SUM(J26)</f>
        <v>3125</v>
      </c>
      <c r="K27" s="197"/>
      <c r="L27" s="132"/>
      <c r="M27" s="73"/>
      <c r="N27" s="58"/>
    </row>
    <row r="28" spans="1:15" ht="17.100000000000001" customHeight="1" x14ac:dyDescent="0.25">
      <c r="A28" s="52"/>
      <c r="B28" s="37"/>
      <c r="C28" s="116"/>
      <c r="D28" s="123"/>
      <c r="E28" s="116"/>
      <c r="F28" s="175"/>
      <c r="G28" s="144"/>
      <c r="H28" s="152"/>
      <c r="I28" s="71"/>
      <c r="J28" s="72"/>
      <c r="K28" s="194"/>
      <c r="L28" s="132"/>
      <c r="M28" s="73"/>
      <c r="N28" s="58"/>
    </row>
    <row r="29" spans="1:15" ht="20.100000000000001" customHeight="1" x14ac:dyDescent="0.25">
      <c r="A29" s="86">
        <v>4</v>
      </c>
      <c r="B29" s="31" t="s">
        <v>76</v>
      </c>
      <c r="C29" s="116"/>
      <c r="D29" s="123"/>
      <c r="E29" s="116"/>
      <c r="F29" s="175"/>
      <c r="G29" s="144"/>
      <c r="H29" s="152"/>
      <c r="I29" s="71"/>
      <c r="J29" s="72"/>
      <c r="K29" s="194"/>
      <c r="L29" s="132"/>
      <c r="M29" s="73"/>
      <c r="N29" s="58"/>
    </row>
    <row r="30" spans="1:15" ht="52.8" x14ac:dyDescent="0.25">
      <c r="A30" s="52" t="s">
        <v>83</v>
      </c>
      <c r="B30" s="58" t="s">
        <v>60</v>
      </c>
      <c r="C30" s="117">
        <v>2008</v>
      </c>
      <c r="D30" s="128">
        <f>H30</f>
        <v>399255.63</v>
      </c>
      <c r="E30" s="117"/>
      <c r="F30" s="176">
        <v>3000000</v>
      </c>
      <c r="G30" s="146">
        <f>F30-H30</f>
        <v>2600744.37</v>
      </c>
      <c r="H30" s="154">
        <v>399255.63</v>
      </c>
      <c r="I30" s="78">
        <f>+H30-J30</f>
        <v>0</v>
      </c>
      <c r="J30" s="78">
        <v>399255.63</v>
      </c>
      <c r="K30" s="196"/>
      <c r="L30" s="134"/>
      <c r="M30" s="112" t="s">
        <v>64</v>
      </c>
      <c r="N30" s="58" t="s">
        <v>150</v>
      </c>
      <c r="O30" s="58"/>
    </row>
    <row r="31" spans="1:15" ht="39.6" x14ac:dyDescent="0.25">
      <c r="A31" s="41" t="s">
        <v>84</v>
      </c>
      <c r="B31" s="38" t="s">
        <v>18</v>
      </c>
      <c r="C31" s="160" t="s">
        <v>59</v>
      </c>
      <c r="D31" s="128">
        <f>H31</f>
        <v>79867.08</v>
      </c>
      <c r="E31" s="54"/>
      <c r="F31" s="176">
        <f>750000+18350+35000</f>
        <v>803350</v>
      </c>
      <c r="G31" s="146">
        <f>F31-H31</f>
        <v>723482.92</v>
      </c>
      <c r="H31" s="156">
        <f>79867.08</f>
        <v>79867.08</v>
      </c>
      <c r="I31" s="78">
        <f>+H31-J31</f>
        <v>0</v>
      </c>
      <c r="J31" s="78">
        <v>79867.08</v>
      </c>
      <c r="K31" s="196"/>
      <c r="L31" s="134"/>
      <c r="M31" s="112" t="s">
        <v>64</v>
      </c>
      <c r="N31" s="58" t="s">
        <v>140</v>
      </c>
      <c r="O31" s="58"/>
    </row>
    <row r="32" spans="1:15" ht="79.2" x14ac:dyDescent="0.25">
      <c r="A32" s="41" t="s">
        <v>85</v>
      </c>
      <c r="B32" s="38" t="s">
        <v>57</v>
      </c>
      <c r="C32" s="54">
        <v>2010</v>
      </c>
      <c r="D32" s="128">
        <f>H32</f>
        <v>520000</v>
      </c>
      <c r="E32" s="54"/>
      <c r="F32" s="176">
        <v>800000</v>
      </c>
      <c r="G32" s="146">
        <f>F32-H32</f>
        <v>280000</v>
      </c>
      <c r="H32" s="156">
        <v>520000</v>
      </c>
      <c r="I32" s="78">
        <f>+H32-J32</f>
        <v>60000</v>
      </c>
      <c r="J32" s="78">
        <v>460000</v>
      </c>
      <c r="K32" s="196"/>
      <c r="L32" s="134">
        <v>40765</v>
      </c>
      <c r="M32" s="82" t="s">
        <v>64</v>
      </c>
      <c r="N32" s="58" t="s">
        <v>141</v>
      </c>
      <c r="O32" s="58"/>
    </row>
    <row r="33" spans="1:14" ht="20.25" customHeight="1" x14ac:dyDescent="0.25">
      <c r="A33" s="52"/>
      <c r="B33" s="37"/>
      <c r="C33" s="116"/>
      <c r="D33" s="123"/>
      <c r="E33" s="116"/>
      <c r="F33" s="173">
        <f>SUM(F30:F32)</f>
        <v>4603350</v>
      </c>
      <c r="G33" s="147">
        <f>SUM(G30:G32)</f>
        <v>3604227.29</v>
      </c>
      <c r="H33" s="155">
        <f>SUM(H30:H32)</f>
        <v>999122.71</v>
      </c>
      <c r="I33" s="79">
        <f>SUM(I30:I32)</f>
        <v>60000</v>
      </c>
      <c r="J33" s="79">
        <f>SUM(J30:J32)</f>
        <v>939122.71</v>
      </c>
      <c r="K33" s="197"/>
      <c r="L33" s="132"/>
      <c r="M33" s="73"/>
      <c r="N33" s="77"/>
    </row>
    <row r="34" spans="1:14" ht="20.100000000000001" customHeight="1" x14ac:dyDescent="0.25">
      <c r="A34" s="52"/>
      <c r="B34" s="37"/>
      <c r="C34" s="116"/>
      <c r="D34" s="123"/>
      <c r="E34" s="116"/>
      <c r="F34" s="179"/>
      <c r="G34" s="148"/>
      <c r="H34" s="157"/>
      <c r="I34" s="76"/>
      <c r="J34" s="76"/>
      <c r="K34" s="195"/>
      <c r="L34" s="132"/>
      <c r="M34" s="73"/>
      <c r="N34" s="77"/>
    </row>
    <row r="35" spans="1:14" ht="15.9" customHeight="1" x14ac:dyDescent="0.25">
      <c r="A35" s="168">
        <v>5</v>
      </c>
      <c r="B35" s="75" t="s">
        <v>114</v>
      </c>
      <c r="C35" s="117"/>
      <c r="D35" s="124"/>
      <c r="E35" s="117"/>
      <c r="F35" s="179"/>
      <c r="G35" s="145"/>
      <c r="H35" s="153"/>
      <c r="I35" s="76"/>
      <c r="J35" s="76"/>
      <c r="K35" s="195"/>
      <c r="L35" s="132"/>
      <c r="M35" s="73"/>
      <c r="N35" s="77"/>
    </row>
    <row r="36" spans="1:14" ht="39.6" x14ac:dyDescent="0.25">
      <c r="A36" s="41" t="s">
        <v>115</v>
      </c>
      <c r="B36" s="38" t="s">
        <v>113</v>
      </c>
      <c r="C36" s="119" t="s">
        <v>128</v>
      </c>
      <c r="D36" s="128">
        <f>H36</f>
        <v>2395734.35</v>
      </c>
      <c r="E36" s="118"/>
      <c r="F36" s="176">
        <f>2100000+377956-247795+459920</f>
        <v>2690081</v>
      </c>
      <c r="G36" s="146">
        <f>F36-H36</f>
        <v>294346.64999999991</v>
      </c>
      <c r="H36" s="154">
        <f>1935814.35+459920</f>
        <v>2395734.35</v>
      </c>
      <c r="I36" s="78">
        <f>+H36-J36</f>
        <v>1827123.3</v>
      </c>
      <c r="J36" s="78">
        <v>568611.05000000005</v>
      </c>
      <c r="K36" s="196"/>
      <c r="L36" s="192">
        <v>40833</v>
      </c>
      <c r="M36" s="73" t="s">
        <v>63</v>
      </c>
      <c r="N36" s="58" t="s">
        <v>151</v>
      </c>
    </row>
    <row r="37" spans="1:14" ht="39.6" x14ac:dyDescent="0.25">
      <c r="A37" s="41" t="s">
        <v>106</v>
      </c>
      <c r="B37" s="38" t="s">
        <v>112</v>
      </c>
      <c r="C37" s="109">
        <v>2011</v>
      </c>
      <c r="D37" s="113">
        <f>F37</f>
        <v>2740093</v>
      </c>
      <c r="E37" s="109"/>
      <c r="F37" s="49">
        <f>2375000+688978-323885</f>
        <v>2740093</v>
      </c>
      <c r="G37" s="146">
        <f>F37-H37</f>
        <v>920455.89999999991</v>
      </c>
      <c r="H37" s="154">
        <v>1819637.1</v>
      </c>
      <c r="I37" s="78">
        <f>+H37-J37</f>
        <v>1592047.27</v>
      </c>
      <c r="J37" s="78">
        <v>227589.83</v>
      </c>
      <c r="K37" s="196"/>
      <c r="L37" s="192">
        <v>40812</v>
      </c>
      <c r="M37" s="73" t="s">
        <v>63</v>
      </c>
      <c r="N37" s="58" t="s">
        <v>152</v>
      </c>
    </row>
    <row r="38" spans="1:14" ht="52.8" x14ac:dyDescent="0.25">
      <c r="A38" s="166" t="s">
        <v>124</v>
      </c>
      <c r="B38" s="204" t="s">
        <v>125</v>
      </c>
      <c r="C38" s="119" t="s">
        <v>128</v>
      </c>
      <c r="D38" s="128"/>
      <c r="E38" s="118"/>
      <c r="F38" s="176">
        <f>247795+2900117</f>
        <v>3147912</v>
      </c>
      <c r="G38" s="146">
        <f>F38-H38</f>
        <v>448277.62000000011</v>
      </c>
      <c r="H38" s="154">
        <v>2699634.38</v>
      </c>
      <c r="I38" s="78">
        <f>+H38-J38</f>
        <v>1097202.7699999998</v>
      </c>
      <c r="J38" s="78">
        <v>1602431.61</v>
      </c>
      <c r="K38" s="196"/>
      <c r="L38" s="192">
        <v>40820</v>
      </c>
      <c r="M38" s="73" t="s">
        <v>63</v>
      </c>
      <c r="N38" s="58" t="s">
        <v>153</v>
      </c>
    </row>
    <row r="39" spans="1:14" ht="18" customHeight="1" x14ac:dyDescent="0.25">
      <c r="A39" s="52"/>
      <c r="B39" s="37"/>
      <c r="C39" s="116"/>
      <c r="D39" s="123"/>
      <c r="E39" s="116"/>
      <c r="F39" s="173">
        <f>SUM(F36:F38)</f>
        <v>8578086</v>
      </c>
      <c r="G39" s="147">
        <f>SUM(G36:G38)</f>
        <v>1663080.17</v>
      </c>
      <c r="H39" s="155">
        <f>SUM(H36:H38)</f>
        <v>6915005.8300000001</v>
      </c>
      <c r="I39" s="79">
        <f>SUM(I36:I38)</f>
        <v>4516373.34</v>
      </c>
      <c r="J39" s="50">
        <f>SUM(J36:J38)</f>
        <v>2398632.4900000002</v>
      </c>
      <c r="K39" s="197"/>
      <c r="L39" s="132"/>
      <c r="M39" s="73"/>
      <c r="N39" s="58"/>
    </row>
    <row r="40" spans="1:14" x14ac:dyDescent="0.25">
      <c r="A40" s="52"/>
      <c r="B40" s="37"/>
      <c r="C40" s="116"/>
      <c r="D40" s="123"/>
      <c r="E40" s="116"/>
      <c r="F40" s="179"/>
      <c r="G40" s="148"/>
      <c r="H40" s="157"/>
      <c r="I40" s="76"/>
      <c r="J40" s="76"/>
      <c r="K40" s="195"/>
      <c r="L40" s="132"/>
      <c r="M40" s="73"/>
      <c r="N40" s="77"/>
    </row>
    <row r="41" spans="1:14" ht="18" customHeight="1" x14ac:dyDescent="0.25">
      <c r="A41" s="168">
        <v>6</v>
      </c>
      <c r="B41" s="190" t="s">
        <v>77</v>
      </c>
      <c r="C41" s="117"/>
      <c r="D41" s="124"/>
      <c r="E41" s="117"/>
      <c r="F41" s="180"/>
      <c r="G41" s="149"/>
      <c r="H41" s="159"/>
      <c r="I41" s="76"/>
      <c r="J41" s="76"/>
      <c r="K41" s="195"/>
      <c r="L41" s="132"/>
      <c r="M41" s="73"/>
      <c r="N41" s="77"/>
    </row>
    <row r="42" spans="1:14" ht="17.25" customHeight="1" x14ac:dyDescent="0.25">
      <c r="A42" s="52" t="s">
        <v>87</v>
      </c>
      <c r="B42" s="36" t="s">
        <v>78</v>
      </c>
      <c r="C42" s="47">
        <v>2011</v>
      </c>
      <c r="D42" s="47"/>
      <c r="E42" s="113">
        <f>F42</f>
        <v>574090</v>
      </c>
      <c r="F42" s="49">
        <f>500000+100000-25910</f>
        <v>574090</v>
      </c>
      <c r="G42" s="131">
        <f>F42-H42</f>
        <v>545819.53</v>
      </c>
      <c r="H42" s="154">
        <v>28270.47</v>
      </c>
      <c r="I42" s="78">
        <f>+H42-J42</f>
        <v>28270.47</v>
      </c>
      <c r="J42" s="78">
        <v>0</v>
      </c>
      <c r="K42" s="196"/>
      <c r="L42" s="133">
        <v>40750</v>
      </c>
      <c r="M42" s="73" t="s">
        <v>53</v>
      </c>
      <c r="N42" s="58" t="s">
        <v>133</v>
      </c>
    </row>
    <row r="43" spans="1:14" ht="30" customHeight="1" x14ac:dyDescent="0.25">
      <c r="A43" s="52" t="s">
        <v>91</v>
      </c>
      <c r="B43" s="36" t="s">
        <v>79</v>
      </c>
      <c r="C43" s="47">
        <v>2011</v>
      </c>
      <c r="D43" s="113">
        <f>F43</f>
        <v>938385</v>
      </c>
      <c r="E43" s="47"/>
      <c r="F43" s="49">
        <f>1000000-61615</f>
        <v>938385</v>
      </c>
      <c r="G43" s="146">
        <f>F43-H43</f>
        <v>861679.7</v>
      </c>
      <c r="H43" s="154">
        <v>76705.3</v>
      </c>
      <c r="I43" s="78">
        <f>+H43-J43</f>
        <v>0</v>
      </c>
      <c r="J43" s="78">
        <v>76705.3</v>
      </c>
      <c r="K43" s="196"/>
      <c r="L43" s="133"/>
      <c r="M43" s="73" t="s">
        <v>62</v>
      </c>
      <c r="N43" s="56" t="s">
        <v>154</v>
      </c>
    </row>
    <row r="44" spans="1:14" ht="104.25" customHeight="1" x14ac:dyDescent="0.25">
      <c r="A44" s="81" t="s">
        <v>88</v>
      </c>
      <c r="B44" s="33" t="s">
        <v>19</v>
      </c>
      <c r="C44" s="160" t="s">
        <v>128</v>
      </c>
      <c r="D44" s="129"/>
      <c r="E44" s="169">
        <f>H44</f>
        <v>6273639.4000000004</v>
      </c>
      <c r="F44" s="176">
        <f>200000+6086945</f>
        <v>6286945</v>
      </c>
      <c r="G44" s="146">
        <f>F44-H44</f>
        <v>13305.599999999627</v>
      </c>
      <c r="H44" s="156">
        <f>186694.4+6086945</f>
        <v>6273639.4000000004</v>
      </c>
      <c r="I44" s="78">
        <f>+H44-J44</f>
        <v>0</v>
      </c>
      <c r="J44" s="78">
        <f>186694.4+6086945</f>
        <v>6273639.4000000004</v>
      </c>
      <c r="K44" s="196">
        <v>31000</v>
      </c>
      <c r="L44" s="133"/>
      <c r="M44" s="73" t="s">
        <v>53</v>
      </c>
      <c r="N44" s="58" t="s">
        <v>155</v>
      </c>
    </row>
    <row r="45" spans="1:14" ht="43.5" customHeight="1" x14ac:dyDescent="0.25">
      <c r="A45" s="53" t="s">
        <v>107</v>
      </c>
      <c r="B45" s="46" t="s">
        <v>80</v>
      </c>
      <c r="C45" s="47">
        <v>2011</v>
      </c>
      <c r="D45" s="47"/>
      <c r="E45" s="113">
        <f>F45</f>
        <v>649806</v>
      </c>
      <c r="F45" s="49">
        <f>1000000-350194</f>
        <v>649806</v>
      </c>
      <c r="G45" s="146">
        <f>F45-H45</f>
        <v>589266.1</v>
      </c>
      <c r="H45" s="156">
        <v>60539.9</v>
      </c>
      <c r="I45" s="78">
        <f>+H45-J45</f>
        <v>29539.5</v>
      </c>
      <c r="J45" s="78">
        <v>31000.400000000001</v>
      </c>
      <c r="K45" s="196">
        <v>-31000</v>
      </c>
      <c r="L45" s="192">
        <v>40812</v>
      </c>
      <c r="M45" s="73" t="s">
        <v>53</v>
      </c>
      <c r="N45" s="58" t="s">
        <v>156</v>
      </c>
    </row>
    <row r="46" spans="1:14" ht="86.25" customHeight="1" x14ac:dyDescent="0.25">
      <c r="A46" s="53" t="s">
        <v>108</v>
      </c>
      <c r="B46" s="46" t="s">
        <v>81</v>
      </c>
      <c r="C46" s="47">
        <v>2011</v>
      </c>
      <c r="D46" s="113">
        <f>F46</f>
        <v>500000</v>
      </c>
      <c r="E46" s="47"/>
      <c r="F46" s="49">
        <v>500000</v>
      </c>
      <c r="G46" s="146">
        <f>F46-H46</f>
        <v>0</v>
      </c>
      <c r="H46" s="156">
        <v>500000</v>
      </c>
      <c r="I46" s="78">
        <f>+H46-J46</f>
        <v>0</v>
      </c>
      <c r="J46" s="78">
        <v>500000</v>
      </c>
      <c r="K46" s="196"/>
      <c r="L46" s="134"/>
      <c r="M46" s="73" t="s">
        <v>92</v>
      </c>
      <c r="N46" s="58" t="s">
        <v>157</v>
      </c>
    </row>
    <row r="47" spans="1:14" ht="22.5" customHeight="1" x14ac:dyDescent="0.25">
      <c r="A47" s="74"/>
      <c r="B47" s="83"/>
      <c r="C47" s="117"/>
      <c r="D47" s="124"/>
      <c r="E47" s="117"/>
      <c r="F47" s="173">
        <f>SUM(F42:F46)</f>
        <v>8949226</v>
      </c>
      <c r="G47" s="150">
        <f>SUM(G42:G46)</f>
        <v>2010070.9299999997</v>
      </c>
      <c r="H47" s="155">
        <f>SUM(H42:H46)</f>
        <v>6939155.0700000003</v>
      </c>
      <c r="I47" s="79">
        <f>SUM(I42:I46)</f>
        <v>57809.97</v>
      </c>
      <c r="J47" s="79">
        <f>SUM(J42:J46)</f>
        <v>6881345.1000000006</v>
      </c>
      <c r="K47" s="197"/>
      <c r="L47" s="135"/>
      <c r="M47" s="84"/>
      <c r="N47" s="58"/>
    </row>
    <row r="48" spans="1:14" x14ac:dyDescent="0.25">
      <c r="A48" s="52"/>
      <c r="B48" s="37"/>
      <c r="C48" s="116"/>
      <c r="D48" s="123"/>
      <c r="E48" s="116"/>
      <c r="F48" s="179"/>
      <c r="G48" s="148"/>
      <c r="H48" s="157"/>
      <c r="I48" s="76"/>
      <c r="J48" s="76"/>
      <c r="K48" s="195"/>
      <c r="L48" s="132"/>
      <c r="M48" s="73"/>
      <c r="N48" s="77"/>
    </row>
    <row r="49" spans="1:14" ht="17.25" customHeight="1" x14ac:dyDescent="0.25">
      <c r="A49" s="28">
        <v>7</v>
      </c>
      <c r="B49" s="31" t="s">
        <v>21</v>
      </c>
      <c r="C49" s="40"/>
      <c r="D49" s="40"/>
      <c r="E49" s="40"/>
      <c r="F49" s="51"/>
      <c r="G49" s="148"/>
      <c r="H49" s="157"/>
      <c r="I49" s="76"/>
      <c r="J49" s="76"/>
      <c r="K49" s="195"/>
      <c r="L49" s="132"/>
      <c r="M49" s="73"/>
      <c r="N49" s="77"/>
    </row>
    <row r="50" spans="1:14" ht="30.75" customHeight="1" x14ac:dyDescent="0.25">
      <c r="A50" s="44" t="s">
        <v>82</v>
      </c>
      <c r="B50" s="36" t="s">
        <v>93</v>
      </c>
      <c r="C50" s="47">
        <v>2011</v>
      </c>
      <c r="D50" s="47"/>
      <c r="E50" s="113">
        <f>F50</f>
        <v>2931934</v>
      </c>
      <c r="F50" s="49">
        <f>2934048-2114</f>
        <v>2931934</v>
      </c>
      <c r="G50" s="146">
        <f>F50-H50</f>
        <v>1685161.19</v>
      </c>
      <c r="H50" s="183">
        <v>1246772.81</v>
      </c>
      <c r="I50" s="78">
        <f>+H50-J50</f>
        <v>598575.32000000007</v>
      </c>
      <c r="J50" s="188">
        <v>648197.49</v>
      </c>
      <c r="K50" s="198"/>
      <c r="L50" s="132">
        <v>40770</v>
      </c>
      <c r="M50" s="73" t="s">
        <v>63</v>
      </c>
      <c r="N50" s="77" t="s">
        <v>142</v>
      </c>
    </row>
    <row r="51" spans="1:14" ht="15" customHeight="1" x14ac:dyDescent="0.25">
      <c r="A51" s="40"/>
      <c r="B51" s="26"/>
      <c r="C51" s="47"/>
      <c r="D51" s="47"/>
      <c r="E51" s="47"/>
      <c r="F51" s="50">
        <f>SUM(F50:F50)</f>
        <v>2931934</v>
      </c>
      <c r="G51" s="184">
        <f>SUM(G50:G50)</f>
        <v>1685161.19</v>
      </c>
      <c r="H51" s="185">
        <f>SUM(H50:H50)</f>
        <v>1246772.81</v>
      </c>
      <c r="I51" s="78">
        <f>SUM(I50:I50)</f>
        <v>598575.32000000007</v>
      </c>
      <c r="J51" s="186">
        <f>SUM(J50:J50)</f>
        <v>648197.49</v>
      </c>
      <c r="K51" s="199"/>
      <c r="L51" s="132"/>
      <c r="M51" s="73"/>
      <c r="N51" s="77"/>
    </row>
    <row r="52" spans="1:14" x14ac:dyDescent="0.25">
      <c r="A52" s="52"/>
      <c r="B52" s="37"/>
      <c r="C52" s="116"/>
      <c r="D52" s="123"/>
      <c r="E52" s="116"/>
      <c r="F52" s="179"/>
      <c r="G52" s="148"/>
      <c r="H52" s="157"/>
      <c r="I52" s="187"/>
      <c r="J52" s="76"/>
      <c r="K52" s="195"/>
      <c r="L52" s="132"/>
      <c r="M52" s="73"/>
      <c r="N52" s="77"/>
    </row>
    <row r="53" spans="1:14" ht="27.6" customHeight="1" x14ac:dyDescent="0.25">
      <c r="A53" s="168">
        <v>8</v>
      </c>
      <c r="B53" s="31" t="s">
        <v>22</v>
      </c>
      <c r="C53" s="117"/>
      <c r="D53" s="124"/>
      <c r="E53" s="117"/>
      <c r="F53" s="180"/>
      <c r="G53" s="149"/>
      <c r="H53" s="158"/>
      <c r="I53" s="76"/>
      <c r="J53" s="76"/>
      <c r="K53" s="195"/>
      <c r="L53" s="132"/>
      <c r="M53" s="73"/>
      <c r="N53" s="77"/>
    </row>
    <row r="54" spans="1:14" ht="42.75" customHeight="1" x14ac:dyDescent="0.25">
      <c r="A54" s="42" t="s">
        <v>23</v>
      </c>
      <c r="B54" s="33" t="s">
        <v>24</v>
      </c>
      <c r="C54" s="160" t="s">
        <v>128</v>
      </c>
      <c r="D54" s="128">
        <f>H54</f>
        <v>186507.73</v>
      </c>
      <c r="E54" s="54"/>
      <c r="F54" s="176">
        <f>150000+150000</f>
        <v>300000</v>
      </c>
      <c r="G54" s="146">
        <f>F54-H54</f>
        <v>113492.26999999999</v>
      </c>
      <c r="H54" s="154">
        <f>36507.73+150000</f>
        <v>186507.73</v>
      </c>
      <c r="I54" s="78">
        <f>+H54-J54</f>
        <v>2.0000000018626451E-2</v>
      </c>
      <c r="J54" s="78">
        <f>36507.71+150000</f>
        <v>186507.71</v>
      </c>
      <c r="K54" s="196"/>
      <c r="L54" s="133">
        <v>40718</v>
      </c>
      <c r="M54" s="29" t="s">
        <v>62</v>
      </c>
      <c r="N54" s="58" t="s">
        <v>138</v>
      </c>
    </row>
    <row r="55" spans="1:14" x14ac:dyDescent="0.25">
      <c r="A55" s="189" t="s">
        <v>86</v>
      </c>
      <c r="B55" s="83" t="s">
        <v>129</v>
      </c>
      <c r="C55" s="119" t="s">
        <v>119</v>
      </c>
      <c r="D55" s="128">
        <f>H55</f>
        <v>351340</v>
      </c>
      <c r="E55" s="119"/>
      <c r="F55" s="176">
        <f>250000+101340</f>
        <v>351340</v>
      </c>
      <c r="G55" s="146">
        <f>F55-H55</f>
        <v>0</v>
      </c>
      <c r="H55" s="154">
        <v>351340</v>
      </c>
      <c r="I55" s="78">
        <f>+H55-J55</f>
        <v>1529</v>
      </c>
      <c r="J55" s="78">
        <v>349811</v>
      </c>
      <c r="K55" s="196"/>
      <c r="L55" s="193">
        <v>40836</v>
      </c>
      <c r="M55" s="73" t="s">
        <v>65</v>
      </c>
      <c r="N55" s="58" t="s">
        <v>139</v>
      </c>
    </row>
    <row r="56" spans="1:14" ht="21.9" customHeight="1" x14ac:dyDescent="0.25">
      <c r="A56" s="52"/>
      <c r="B56" s="37"/>
      <c r="C56" s="116"/>
      <c r="D56" s="123"/>
      <c r="E56" s="116"/>
      <c r="F56" s="173">
        <f>SUM(F54:F55)</f>
        <v>651340</v>
      </c>
      <c r="G56" s="147">
        <f>SUM(G54:G55)</f>
        <v>113492.26999999999</v>
      </c>
      <c r="H56" s="155">
        <f>SUM(H54:H55)</f>
        <v>537847.73</v>
      </c>
      <c r="I56" s="79">
        <f>SUM(I54:I55)</f>
        <v>1529.0200000000186</v>
      </c>
      <c r="J56" s="79">
        <f>SUM(J54:J55)</f>
        <v>536318.71</v>
      </c>
      <c r="K56" s="197"/>
      <c r="L56" s="132"/>
      <c r="M56" s="73"/>
      <c r="N56" s="58"/>
    </row>
    <row r="57" spans="1:14" ht="20.25" customHeight="1" x14ac:dyDescent="0.25">
      <c r="A57" s="52"/>
      <c r="B57" s="37"/>
      <c r="C57" s="116"/>
      <c r="D57" s="123"/>
      <c r="E57" s="116"/>
      <c r="F57" s="179"/>
      <c r="G57" s="148"/>
      <c r="H57" s="157"/>
      <c r="I57" s="76"/>
      <c r="J57" s="76"/>
      <c r="K57" s="195"/>
      <c r="L57" s="132"/>
      <c r="M57" s="73"/>
      <c r="N57" s="77"/>
    </row>
    <row r="58" spans="1:14" x14ac:dyDescent="0.25">
      <c r="A58" s="168">
        <v>9</v>
      </c>
      <c r="B58" s="75" t="s">
        <v>9</v>
      </c>
      <c r="C58" s="117"/>
      <c r="D58" s="124"/>
      <c r="E58" s="117"/>
      <c r="F58" s="179"/>
      <c r="G58" s="145"/>
      <c r="H58" s="153"/>
      <c r="I58" s="76"/>
      <c r="J58" s="76"/>
      <c r="K58" s="195"/>
      <c r="L58" s="132"/>
      <c r="M58" s="73"/>
      <c r="N58" s="58"/>
    </row>
    <row r="59" spans="1:14" ht="26.4" x14ac:dyDescent="0.25">
      <c r="A59" s="41" t="s">
        <v>109</v>
      </c>
      <c r="B59" s="38" t="s">
        <v>94</v>
      </c>
      <c r="C59" s="47">
        <v>2011</v>
      </c>
      <c r="D59" s="113">
        <f>F59</f>
        <v>1339649</v>
      </c>
      <c r="E59" s="47"/>
      <c r="F59" s="49">
        <f>1500000-160351</f>
        <v>1339649</v>
      </c>
      <c r="G59" s="146">
        <f>F59-H59</f>
        <v>1233113.42</v>
      </c>
      <c r="H59" s="154">
        <v>106535.58</v>
      </c>
      <c r="I59" s="78">
        <f>+H59-J59</f>
        <v>106535.09</v>
      </c>
      <c r="J59" s="78">
        <v>0.49</v>
      </c>
      <c r="K59" s="196"/>
      <c r="L59" s="134">
        <v>40737</v>
      </c>
      <c r="M59" s="73" t="s">
        <v>64</v>
      </c>
      <c r="N59" s="58" t="s">
        <v>133</v>
      </c>
    </row>
    <row r="60" spans="1:14" x14ac:dyDescent="0.25">
      <c r="A60" s="52"/>
      <c r="B60" s="37"/>
      <c r="C60" s="116"/>
      <c r="D60" s="123"/>
      <c r="E60" s="116"/>
      <c r="F60" s="173">
        <f>SUM(F59:F59)</f>
        <v>1339649</v>
      </c>
      <c r="G60" s="147">
        <f>SUM(G59:G59)</f>
        <v>1233113.42</v>
      </c>
      <c r="H60" s="155">
        <f>SUM(H59:H59)</f>
        <v>106535.58</v>
      </c>
      <c r="I60" s="79">
        <f>SUM(I59:I59)</f>
        <v>106535.09</v>
      </c>
      <c r="J60" s="50">
        <f>SUM(J59:J59)</f>
        <v>0.49</v>
      </c>
      <c r="K60" s="197"/>
      <c r="L60" s="132"/>
      <c r="M60" s="73"/>
      <c r="N60" s="58"/>
    </row>
    <row r="61" spans="1:14" ht="18.899999999999999" customHeight="1" x14ac:dyDescent="0.25">
      <c r="A61" s="74"/>
      <c r="B61" s="83"/>
      <c r="C61" s="117"/>
      <c r="D61" s="124"/>
      <c r="E61" s="117"/>
      <c r="F61" s="180"/>
      <c r="G61" s="149"/>
      <c r="H61" s="158"/>
      <c r="I61" s="71"/>
      <c r="J61" s="85"/>
      <c r="K61" s="194"/>
      <c r="L61" s="135"/>
      <c r="M61" s="84"/>
      <c r="N61" s="58"/>
    </row>
    <row r="62" spans="1:14" x14ac:dyDescent="0.25">
      <c r="A62" s="168">
        <v>12</v>
      </c>
      <c r="B62" s="75" t="s">
        <v>11</v>
      </c>
      <c r="C62" s="117"/>
      <c r="D62" s="124"/>
      <c r="E62" s="117"/>
      <c r="F62" s="180"/>
      <c r="G62" s="149"/>
      <c r="H62" s="159"/>
      <c r="I62" s="76"/>
      <c r="J62" s="76"/>
      <c r="K62" s="195"/>
      <c r="L62" s="132"/>
      <c r="M62" s="73"/>
      <c r="N62" s="77"/>
    </row>
    <row r="63" spans="1:14" x14ac:dyDescent="0.25">
      <c r="A63" s="81" t="s">
        <v>89</v>
      </c>
      <c r="B63" s="33" t="s">
        <v>25</v>
      </c>
      <c r="C63" s="54">
        <v>2010</v>
      </c>
      <c r="D63" s="127">
        <f>H63</f>
        <v>238716.35</v>
      </c>
      <c r="E63" s="54"/>
      <c r="F63" s="176">
        <f>800000+456834-12283</f>
        <v>1244551</v>
      </c>
      <c r="G63" s="131">
        <f>F63-H63</f>
        <v>1005834.65</v>
      </c>
      <c r="H63" s="154">
        <v>238716.35</v>
      </c>
      <c r="I63" s="78">
        <f>+H63-J63</f>
        <v>238716.35</v>
      </c>
      <c r="J63" s="49">
        <v>0</v>
      </c>
      <c r="K63" s="196"/>
      <c r="L63" s="134">
        <v>40779</v>
      </c>
      <c r="M63" s="73" t="s">
        <v>65</v>
      </c>
      <c r="N63" s="58" t="s">
        <v>133</v>
      </c>
    </row>
    <row r="64" spans="1:14" ht="26.1" customHeight="1" x14ac:dyDescent="0.25">
      <c r="A64" s="52"/>
      <c r="B64" s="37"/>
      <c r="C64" s="116"/>
      <c r="D64" s="123"/>
      <c r="E64" s="116"/>
      <c r="F64" s="173">
        <f>SUM(F63)</f>
        <v>1244551</v>
      </c>
      <c r="G64" s="147">
        <f>SUM(G63)</f>
        <v>1005834.65</v>
      </c>
      <c r="H64" s="155">
        <f>SUM(H63)</f>
        <v>238716.35</v>
      </c>
      <c r="I64" s="79">
        <f>SUM(I63)</f>
        <v>238716.35</v>
      </c>
      <c r="J64" s="79">
        <f>SUM(J63)</f>
        <v>0</v>
      </c>
      <c r="K64" s="197"/>
      <c r="L64" s="132"/>
      <c r="M64" s="73"/>
      <c r="N64" s="77"/>
    </row>
    <row r="65" spans="1:14" ht="18" customHeight="1" x14ac:dyDescent="0.25">
      <c r="A65" s="52"/>
      <c r="B65" s="37"/>
      <c r="C65" s="116"/>
      <c r="D65" s="123"/>
      <c r="E65" s="116"/>
      <c r="F65" s="173"/>
      <c r="G65" s="147"/>
      <c r="H65" s="155"/>
      <c r="I65" s="79"/>
      <c r="J65" s="79"/>
      <c r="K65" s="197"/>
      <c r="L65" s="132"/>
      <c r="M65" s="73"/>
      <c r="N65" s="77"/>
    </row>
    <row r="66" spans="1:14" s="89" customFormat="1" ht="24.9" customHeight="1" thickBot="1" x14ac:dyDescent="0.3">
      <c r="A66" s="86"/>
      <c r="B66" s="80"/>
      <c r="C66" s="120"/>
      <c r="D66" s="130">
        <f>SUM(D7:D65)</f>
        <v>11355050.140000001</v>
      </c>
      <c r="E66" s="172">
        <f>SUM(E7:E65)</f>
        <v>17313552.399999999</v>
      </c>
      <c r="F66" s="181">
        <f>F23+F33+F60+F56+F64+F47+F39+F10+F27+F51</f>
        <v>40304727</v>
      </c>
      <c r="G66" s="147" t="e">
        <f>G23+G33+G60+G56+G64+G47+G39+G10+G27+G51</f>
        <v>#N/A</v>
      </c>
      <c r="H66" s="161">
        <f>H23+H33+H60+H56+H64+H47+H39+H10+H27+H51</f>
        <v>23966689.210000001</v>
      </c>
      <c r="I66" s="79" t="e">
        <f>I23+I33+I60+I56+I64+I47+I39+I10+I27+I51</f>
        <v>#N/A</v>
      </c>
      <c r="J66" s="50">
        <f>J23+J33+J60+J56+J64+J47+J39+J10+J27+J51</f>
        <v>14360770.92</v>
      </c>
      <c r="K66" s="197"/>
      <c r="L66" s="136"/>
      <c r="M66" s="87"/>
      <c r="N66" s="88"/>
    </row>
    <row r="67" spans="1:14" s="89" customFormat="1" ht="21.75" customHeight="1" thickBot="1" x14ac:dyDescent="0.3">
      <c r="A67" s="4"/>
      <c r="B67" s="90"/>
      <c r="C67" s="66"/>
      <c r="D67" s="447">
        <f>SUM(D66:E66)</f>
        <v>28668602.539999999</v>
      </c>
      <c r="E67" s="448"/>
      <c r="F67" s="91"/>
      <c r="G67" s="91"/>
      <c r="H67" s="91"/>
      <c r="I67" s="163"/>
      <c r="J67" s="91"/>
      <c r="K67" s="200"/>
      <c r="L67" s="92"/>
      <c r="M67" s="93"/>
      <c r="N67" s="94"/>
    </row>
    <row r="68" spans="1:14" x14ac:dyDescent="0.25">
      <c r="A68" s="64"/>
      <c r="B68" s="90" t="s">
        <v>12</v>
      </c>
      <c r="C68" s="4"/>
      <c r="D68" s="4"/>
      <c r="E68" s="4"/>
      <c r="F68" s="91">
        <f>H66</f>
        <v>23966689.210000001</v>
      </c>
      <c r="G68" s="95"/>
      <c r="H68" s="96"/>
      <c r="I68" s="162"/>
      <c r="L68" s="25"/>
    </row>
    <row r="69" spans="1:14" x14ac:dyDescent="0.25">
      <c r="A69" s="64"/>
      <c r="B69" s="90" t="s">
        <v>136</v>
      </c>
      <c r="C69" s="64"/>
      <c r="D69" s="64"/>
      <c r="E69" s="64"/>
      <c r="F69" s="91" t="e">
        <f>I66</f>
        <v>#N/A</v>
      </c>
      <c r="G69" s="25"/>
      <c r="H69" s="163"/>
      <c r="I69" s="162"/>
      <c r="J69" s="97"/>
      <c r="K69" s="201"/>
      <c r="L69" s="25"/>
    </row>
    <row r="70" spans="1:14" x14ac:dyDescent="0.25">
      <c r="A70" s="64"/>
      <c r="B70" s="90" t="s">
        <v>14</v>
      </c>
      <c r="C70" s="64"/>
      <c r="D70" s="64"/>
      <c r="E70" s="64"/>
      <c r="F70" s="98" t="e">
        <f>I66/H66</f>
        <v>#N/A</v>
      </c>
      <c r="G70" s="99"/>
      <c r="H70" s="164"/>
      <c r="I70" s="165"/>
      <c r="L70" s="25"/>
    </row>
    <row r="71" spans="1:14" ht="17.100000000000001" customHeight="1" x14ac:dyDescent="0.25">
      <c r="A71" s="64"/>
      <c r="B71" s="25"/>
      <c r="C71" s="64"/>
      <c r="D71" s="64"/>
      <c r="E71" s="64"/>
      <c r="F71" s="98"/>
      <c r="G71" s="99"/>
      <c r="H71" s="100"/>
      <c r="I71" s="25"/>
      <c r="L71" s="25"/>
    </row>
    <row r="73" spans="1:14" x14ac:dyDescent="0.25">
      <c r="L73" s="61"/>
    </row>
    <row r="75" spans="1:14" x14ac:dyDescent="0.25">
      <c r="A75" s="64"/>
      <c r="B75" s="25"/>
      <c r="C75" s="64"/>
      <c r="D75" s="64"/>
      <c r="E75" s="64"/>
      <c r="F75" s="99"/>
      <c r="G75" s="99"/>
      <c r="H75" s="100"/>
      <c r="I75" s="25"/>
      <c r="L75" s="25"/>
    </row>
    <row r="76" spans="1:14" x14ac:dyDescent="0.25">
      <c r="A76" s="64"/>
      <c r="B76" s="25"/>
      <c r="C76" s="64"/>
      <c r="D76" s="64"/>
      <c r="E76" s="64"/>
      <c r="F76" s="99"/>
      <c r="G76" s="99"/>
      <c r="H76" s="100"/>
      <c r="I76" s="25"/>
      <c r="L76" s="25"/>
    </row>
    <row r="77" spans="1:14" x14ac:dyDescent="0.25">
      <c r="A77" s="64"/>
      <c r="B77" s="25"/>
      <c r="C77" s="64"/>
      <c r="D77" s="64"/>
      <c r="E77" s="64"/>
      <c r="F77" s="99"/>
      <c r="G77" s="99"/>
      <c r="H77" s="100"/>
      <c r="I77" s="101"/>
      <c r="J77" s="101"/>
      <c r="L77" s="25"/>
    </row>
    <row r="78" spans="1:14" x14ac:dyDescent="0.25">
      <c r="A78" s="64"/>
      <c r="B78" s="25"/>
      <c r="C78" s="64"/>
      <c r="D78" s="64"/>
      <c r="E78" s="64"/>
      <c r="F78" s="99"/>
      <c r="G78" s="99"/>
      <c r="H78" s="100"/>
      <c r="I78" s="25"/>
      <c r="L78" s="25"/>
    </row>
    <row r="79" spans="1:14" ht="15.6" x14ac:dyDescent="0.25">
      <c r="F79" s="103"/>
      <c r="G79" s="103"/>
      <c r="H79" s="104"/>
      <c r="I79" s="105"/>
      <c r="J79" s="106"/>
      <c r="K79" s="202"/>
      <c r="L79" s="105"/>
      <c r="M79" s="107"/>
    </row>
    <row r="80" spans="1:14" ht="15.6" x14ac:dyDescent="0.25">
      <c r="A80" s="65"/>
      <c r="C80" s="65"/>
      <c r="D80" s="65"/>
      <c r="E80" s="65"/>
      <c r="F80" s="103"/>
      <c r="G80" s="103"/>
      <c r="H80" s="104"/>
      <c r="I80" s="105"/>
      <c r="J80" s="106"/>
      <c r="K80" s="202"/>
      <c r="L80" s="105"/>
      <c r="M80" s="107"/>
    </row>
    <row r="81" spans="1:13" ht="15.6" x14ac:dyDescent="0.25">
      <c r="A81" s="65"/>
      <c r="C81" s="65"/>
      <c r="D81" s="65"/>
      <c r="E81" s="65"/>
      <c r="F81" s="103"/>
      <c r="G81" s="103"/>
      <c r="H81" s="104"/>
      <c r="I81" s="105"/>
      <c r="J81" s="106"/>
      <c r="K81" s="202"/>
      <c r="L81" s="105"/>
      <c r="M81" s="107"/>
    </row>
    <row r="82" spans="1:13" ht="15.6" x14ac:dyDescent="0.25">
      <c r="A82" s="65"/>
      <c r="C82" s="65"/>
      <c r="D82" s="65"/>
      <c r="E82" s="65"/>
      <c r="F82" s="103"/>
      <c r="G82" s="103"/>
      <c r="H82" s="104"/>
      <c r="I82" s="105"/>
      <c r="J82" s="106"/>
      <c r="K82" s="202"/>
      <c r="L82" s="105"/>
      <c r="M82" s="107"/>
    </row>
    <row r="83" spans="1:13" ht="15.6" x14ac:dyDescent="0.25">
      <c r="A83" s="65"/>
      <c r="C83" s="65"/>
      <c r="D83" s="65"/>
      <c r="E83" s="65"/>
      <c r="F83" s="103"/>
      <c r="G83" s="103"/>
      <c r="H83" s="104"/>
      <c r="I83" s="105"/>
      <c r="J83" s="106"/>
      <c r="K83" s="202"/>
      <c r="L83" s="105"/>
      <c r="M83" s="107"/>
    </row>
    <row r="84" spans="1:13" ht="15.6" x14ac:dyDescent="0.25">
      <c r="A84" s="65"/>
      <c r="C84" s="65"/>
      <c r="D84" s="65"/>
      <c r="E84" s="65"/>
      <c r="F84" s="105"/>
      <c r="G84" s="105"/>
      <c r="H84" s="108"/>
      <c r="I84" s="105"/>
      <c r="J84" s="106"/>
      <c r="K84" s="202"/>
      <c r="L84" s="105"/>
      <c r="M84" s="107"/>
    </row>
    <row r="85" spans="1:13" ht="15.6" x14ac:dyDescent="0.25">
      <c r="A85" s="65"/>
      <c r="C85" s="65"/>
      <c r="D85" s="65"/>
      <c r="E85" s="65"/>
      <c r="F85" s="105"/>
      <c r="G85" s="105"/>
      <c r="H85" s="108"/>
      <c r="I85" s="105"/>
      <c r="J85" s="106"/>
      <c r="K85" s="202"/>
      <c r="L85" s="105"/>
      <c r="M85" s="107"/>
    </row>
    <row r="86" spans="1:13" ht="15.6" x14ac:dyDescent="0.25">
      <c r="A86" s="65"/>
      <c r="C86" s="65"/>
      <c r="D86" s="65"/>
      <c r="E86" s="65"/>
      <c r="F86" s="105"/>
      <c r="G86" s="105"/>
      <c r="H86" s="108"/>
      <c r="I86" s="105"/>
      <c r="J86" s="106"/>
      <c r="K86" s="202"/>
      <c r="L86" s="105"/>
      <c r="M86" s="107"/>
    </row>
    <row r="87" spans="1:13" ht="15.6" x14ac:dyDescent="0.25">
      <c r="A87" s="65"/>
      <c r="C87" s="65"/>
      <c r="D87" s="65"/>
      <c r="E87" s="65"/>
      <c r="F87" s="105"/>
      <c r="G87" s="105"/>
      <c r="H87" s="105"/>
      <c r="I87" s="105"/>
      <c r="J87" s="106"/>
      <c r="K87" s="202"/>
      <c r="L87" s="105"/>
      <c r="M87" s="107"/>
    </row>
    <row r="88" spans="1:13" ht="15.6" x14ac:dyDescent="0.25">
      <c r="A88" s="65"/>
      <c r="C88" s="65"/>
      <c r="D88" s="65"/>
      <c r="E88" s="65"/>
      <c r="F88" s="105"/>
      <c r="G88" s="105"/>
      <c r="H88" s="105"/>
      <c r="I88" s="105"/>
      <c r="J88" s="106"/>
      <c r="K88" s="202"/>
      <c r="L88" s="105"/>
      <c r="M88" s="107"/>
    </row>
    <row r="89" spans="1:13" ht="15.6" x14ac:dyDescent="0.25">
      <c r="A89" s="65"/>
      <c r="C89" s="65"/>
      <c r="D89" s="65"/>
      <c r="E89" s="65"/>
      <c r="F89" s="105"/>
      <c r="G89" s="105"/>
      <c r="H89" s="105"/>
      <c r="I89" s="105"/>
      <c r="J89" s="106"/>
      <c r="K89" s="202"/>
      <c r="L89" s="105"/>
      <c r="M89" s="107"/>
    </row>
    <row r="90" spans="1:13" ht="15.6" x14ac:dyDescent="0.25">
      <c r="A90" s="65"/>
      <c r="C90" s="65"/>
      <c r="D90" s="65"/>
      <c r="E90" s="65"/>
      <c r="F90" s="105"/>
      <c r="G90" s="105"/>
      <c r="H90" s="105"/>
      <c r="I90" s="105"/>
      <c r="J90" s="106"/>
      <c r="K90" s="202"/>
      <c r="L90" s="105"/>
      <c r="M90" s="107"/>
    </row>
    <row r="91" spans="1:13" ht="15.6" x14ac:dyDescent="0.25">
      <c r="A91" s="65"/>
      <c r="C91" s="65"/>
      <c r="D91" s="65"/>
      <c r="E91" s="65"/>
      <c r="F91" s="105"/>
      <c r="G91" s="105"/>
      <c r="H91" s="105"/>
      <c r="I91" s="105"/>
      <c r="J91" s="106"/>
      <c r="K91" s="202"/>
      <c r="L91" s="105"/>
      <c r="M91" s="107"/>
    </row>
    <row r="92" spans="1:13" ht="15.6" x14ac:dyDescent="0.25">
      <c r="A92" s="65"/>
      <c r="C92" s="65"/>
      <c r="D92" s="65"/>
      <c r="E92" s="65"/>
      <c r="F92" s="105"/>
      <c r="G92" s="105"/>
      <c r="H92" s="105"/>
      <c r="I92" s="105"/>
      <c r="J92" s="106"/>
      <c r="K92" s="202"/>
      <c r="L92" s="105"/>
      <c r="M92" s="107"/>
    </row>
    <row r="93" spans="1:13" ht="15.6" x14ac:dyDescent="0.25">
      <c r="A93" s="65"/>
      <c r="C93" s="65"/>
      <c r="D93" s="65"/>
      <c r="E93" s="65"/>
      <c r="F93" s="105"/>
      <c r="G93" s="105"/>
      <c r="H93" s="105"/>
      <c r="I93" s="105"/>
      <c r="J93" s="106"/>
      <c r="K93" s="202"/>
      <c r="L93" s="105"/>
      <c r="M93" s="107"/>
    </row>
    <row r="94" spans="1:13" ht="15.6" x14ac:dyDescent="0.25">
      <c r="A94" s="65"/>
      <c r="C94" s="65"/>
      <c r="D94" s="65"/>
      <c r="E94" s="65"/>
      <c r="F94" s="105"/>
      <c r="G94" s="105"/>
      <c r="H94" s="105"/>
      <c r="I94" s="105"/>
      <c r="J94" s="106"/>
      <c r="K94" s="202"/>
      <c r="L94" s="105"/>
      <c r="M94" s="107"/>
    </row>
    <row r="95" spans="1:13" ht="15.6" x14ac:dyDescent="0.25">
      <c r="A95" s="65"/>
      <c r="C95" s="65"/>
      <c r="D95" s="65"/>
      <c r="E95" s="65"/>
      <c r="F95" s="105"/>
      <c r="G95" s="105"/>
      <c r="H95" s="105"/>
      <c r="I95" s="105"/>
      <c r="J95" s="106"/>
      <c r="K95" s="202"/>
      <c r="L95" s="105"/>
      <c r="M95" s="107"/>
    </row>
    <row r="96" spans="1:13" ht="15.6" x14ac:dyDescent="0.25">
      <c r="A96" s="65"/>
      <c r="C96" s="65"/>
      <c r="D96" s="65"/>
      <c r="E96" s="65"/>
      <c r="F96" s="105"/>
      <c r="G96" s="105"/>
      <c r="H96" s="105"/>
      <c r="I96" s="105"/>
      <c r="J96" s="106"/>
      <c r="K96" s="202"/>
      <c r="L96" s="105"/>
      <c r="M96" s="107"/>
    </row>
    <row r="97" spans="1:13" ht="15.6" x14ac:dyDescent="0.25">
      <c r="A97" s="65"/>
      <c r="C97" s="65"/>
      <c r="D97" s="65"/>
      <c r="E97" s="65"/>
      <c r="F97" s="105"/>
      <c r="G97" s="105"/>
      <c r="H97" s="105"/>
      <c r="I97" s="105"/>
      <c r="J97" s="106"/>
      <c r="K97" s="202"/>
      <c r="L97" s="105"/>
      <c r="M97" s="107"/>
    </row>
    <row r="98" spans="1:13" ht="15.6" x14ac:dyDescent="0.25">
      <c r="A98" s="65"/>
      <c r="C98" s="65"/>
      <c r="D98" s="65"/>
      <c r="E98" s="65"/>
      <c r="F98" s="105"/>
      <c r="G98" s="105"/>
      <c r="H98" s="105"/>
      <c r="I98" s="105"/>
      <c r="J98" s="106"/>
      <c r="K98" s="202"/>
      <c r="L98" s="105"/>
      <c r="M98" s="107"/>
    </row>
    <row r="99" spans="1:13" ht="15.6" x14ac:dyDescent="0.25">
      <c r="A99" s="65"/>
      <c r="C99" s="65"/>
      <c r="D99" s="65"/>
      <c r="E99" s="65"/>
      <c r="F99" s="105"/>
      <c r="G99" s="105"/>
      <c r="H99" s="105"/>
      <c r="I99" s="105"/>
      <c r="J99" s="106"/>
      <c r="K99" s="202"/>
      <c r="L99" s="105"/>
      <c r="M99" s="107"/>
    </row>
    <row r="100" spans="1:13" ht="15.6" x14ac:dyDescent="0.25">
      <c r="A100" s="65"/>
      <c r="C100" s="65"/>
      <c r="D100" s="65"/>
      <c r="E100" s="65"/>
      <c r="F100" s="105"/>
      <c r="G100" s="105"/>
      <c r="H100" s="105"/>
      <c r="I100" s="105"/>
      <c r="J100" s="106"/>
      <c r="K100" s="202"/>
      <c r="L100" s="105"/>
      <c r="M100" s="107"/>
    </row>
    <row r="101" spans="1:13" ht="15.6" x14ac:dyDescent="0.25">
      <c r="A101" s="65"/>
      <c r="C101" s="65"/>
      <c r="D101" s="65"/>
      <c r="E101" s="65"/>
      <c r="F101" s="105"/>
      <c r="G101" s="105"/>
      <c r="H101" s="105"/>
      <c r="I101" s="105"/>
      <c r="J101" s="106"/>
      <c r="K101" s="202"/>
      <c r="L101" s="105"/>
      <c r="M101" s="107"/>
    </row>
    <row r="102" spans="1:13" ht="15.6" x14ac:dyDescent="0.25">
      <c r="A102" s="65"/>
      <c r="C102" s="65"/>
      <c r="D102" s="65"/>
      <c r="E102" s="65"/>
      <c r="F102" s="105"/>
      <c r="G102" s="105"/>
      <c r="H102" s="105"/>
      <c r="I102" s="105"/>
      <c r="J102" s="106"/>
      <c r="K102" s="202"/>
      <c r="L102" s="105"/>
      <c r="M102" s="107"/>
    </row>
    <row r="103" spans="1:13" ht="15.6" x14ac:dyDescent="0.25">
      <c r="A103" s="65"/>
      <c r="C103" s="65"/>
      <c r="D103" s="65"/>
      <c r="E103" s="65"/>
      <c r="F103" s="105"/>
      <c r="G103" s="105"/>
      <c r="H103" s="105"/>
      <c r="I103" s="105"/>
      <c r="J103" s="106"/>
      <c r="K103" s="202"/>
      <c r="L103" s="105"/>
      <c r="M103" s="107"/>
    </row>
    <row r="104" spans="1:13" ht="15.6" x14ac:dyDescent="0.25">
      <c r="A104" s="65"/>
      <c r="C104" s="65"/>
      <c r="D104" s="65"/>
      <c r="E104" s="65"/>
      <c r="F104" s="105"/>
      <c r="G104" s="105"/>
      <c r="H104" s="105"/>
      <c r="I104" s="105"/>
      <c r="J104" s="106"/>
      <c r="K104" s="202"/>
      <c r="L104" s="105"/>
      <c r="M104" s="107"/>
    </row>
    <row r="105" spans="1:13" ht="15.6" x14ac:dyDescent="0.25">
      <c r="A105" s="65"/>
      <c r="C105" s="65"/>
      <c r="D105" s="65"/>
      <c r="E105" s="65"/>
      <c r="F105" s="105"/>
      <c r="G105" s="105"/>
      <c r="H105" s="105"/>
      <c r="I105" s="105"/>
      <c r="J105" s="106"/>
      <c r="K105" s="202"/>
      <c r="L105" s="105"/>
      <c r="M105" s="107"/>
    </row>
    <row r="106" spans="1:13" ht="15.6" x14ac:dyDescent="0.25">
      <c r="A106" s="65"/>
      <c r="C106" s="65"/>
      <c r="D106" s="65"/>
      <c r="E106" s="65"/>
      <c r="F106" s="105"/>
      <c r="G106" s="105"/>
      <c r="H106" s="105"/>
      <c r="I106" s="105"/>
      <c r="J106" s="106"/>
      <c r="K106" s="202"/>
      <c r="L106" s="105"/>
      <c r="M106" s="107"/>
    </row>
    <row r="107" spans="1:13" ht="15.6" x14ac:dyDescent="0.25">
      <c r="A107" s="65"/>
      <c r="C107" s="65"/>
      <c r="D107" s="65"/>
      <c r="E107" s="65"/>
      <c r="F107" s="105"/>
      <c r="G107" s="105"/>
      <c r="H107" s="105"/>
      <c r="I107" s="105"/>
      <c r="J107" s="106"/>
      <c r="K107" s="202"/>
      <c r="L107" s="105"/>
      <c r="M107" s="107"/>
    </row>
    <row r="108" spans="1:13" ht="15.6" x14ac:dyDescent="0.25">
      <c r="A108" s="65"/>
      <c r="C108" s="65"/>
      <c r="D108" s="65"/>
      <c r="E108" s="65"/>
      <c r="F108" s="105"/>
      <c r="G108" s="105"/>
      <c r="H108" s="105"/>
      <c r="I108" s="105"/>
      <c r="J108" s="106"/>
      <c r="K108" s="202"/>
      <c r="L108" s="105"/>
      <c r="M108" s="107"/>
    </row>
    <row r="109" spans="1:13" ht="15.6" x14ac:dyDescent="0.25">
      <c r="A109" s="65"/>
      <c r="C109" s="65"/>
      <c r="D109" s="65"/>
      <c r="E109" s="65"/>
      <c r="F109" s="105"/>
      <c r="G109" s="105"/>
      <c r="H109" s="105"/>
      <c r="I109" s="105"/>
      <c r="J109" s="106"/>
      <c r="K109" s="202"/>
      <c r="L109" s="105"/>
      <c r="M109" s="107"/>
    </row>
    <row r="110" spans="1:13" ht="15.6" x14ac:dyDescent="0.25">
      <c r="A110" s="65"/>
      <c r="C110" s="65"/>
      <c r="D110" s="65"/>
      <c r="E110" s="65"/>
      <c r="F110" s="105"/>
      <c r="G110" s="105"/>
      <c r="H110" s="105"/>
      <c r="I110" s="105"/>
      <c r="J110" s="106"/>
      <c r="K110" s="202"/>
      <c r="L110" s="105"/>
      <c r="M110" s="107"/>
    </row>
    <row r="111" spans="1:13" ht="15.6" x14ac:dyDescent="0.25">
      <c r="A111" s="65"/>
      <c r="C111" s="65"/>
      <c r="D111" s="65"/>
      <c r="E111" s="65"/>
      <c r="F111" s="105"/>
      <c r="G111" s="105"/>
      <c r="H111" s="105"/>
      <c r="I111" s="105"/>
      <c r="J111" s="106"/>
      <c r="K111" s="202"/>
      <c r="L111" s="105"/>
      <c r="M111" s="107"/>
    </row>
    <row r="112" spans="1:13" ht="15.6" x14ac:dyDescent="0.25">
      <c r="A112" s="65"/>
      <c r="C112" s="65"/>
      <c r="D112" s="65"/>
      <c r="E112" s="65"/>
      <c r="F112" s="105"/>
      <c r="G112" s="105"/>
      <c r="H112" s="105"/>
      <c r="I112" s="105"/>
      <c r="J112" s="106"/>
      <c r="K112" s="202"/>
      <c r="L112" s="105"/>
      <c r="M112" s="107"/>
    </row>
    <row r="113" spans="1:13" ht="15.6" x14ac:dyDescent="0.25">
      <c r="A113" s="65"/>
      <c r="C113" s="65"/>
      <c r="D113" s="65"/>
      <c r="E113" s="65"/>
      <c r="F113" s="105"/>
      <c r="G113" s="105"/>
      <c r="H113" s="105"/>
      <c r="I113" s="105"/>
      <c r="J113" s="106"/>
      <c r="K113" s="202"/>
      <c r="L113" s="105"/>
      <c r="M113" s="107"/>
    </row>
    <row r="114" spans="1:13" ht="15.6" x14ac:dyDescent="0.25">
      <c r="A114" s="65"/>
      <c r="C114" s="65"/>
      <c r="D114" s="65"/>
      <c r="E114" s="65"/>
      <c r="F114" s="105"/>
      <c r="G114" s="105"/>
      <c r="H114" s="105"/>
      <c r="I114" s="105"/>
      <c r="J114" s="106"/>
      <c r="K114" s="202"/>
      <c r="L114" s="105"/>
      <c r="M114" s="107"/>
    </row>
    <row r="115" spans="1:13" ht="15.6" x14ac:dyDescent="0.25">
      <c r="A115" s="65"/>
      <c r="C115" s="65"/>
      <c r="D115" s="65"/>
      <c r="E115" s="65"/>
      <c r="F115" s="105"/>
      <c r="G115" s="105"/>
      <c r="H115" s="105"/>
      <c r="I115" s="105"/>
      <c r="J115" s="106"/>
      <c r="K115" s="202"/>
      <c r="L115" s="105"/>
      <c r="M115" s="107"/>
    </row>
    <row r="116" spans="1:13" ht="15.6" x14ac:dyDescent="0.25">
      <c r="A116" s="65"/>
      <c r="C116" s="65"/>
      <c r="D116" s="65"/>
      <c r="E116" s="65"/>
      <c r="F116" s="105"/>
      <c r="G116" s="105"/>
      <c r="H116" s="105"/>
      <c r="I116" s="105"/>
      <c r="J116" s="106"/>
      <c r="K116" s="202"/>
      <c r="L116" s="105"/>
      <c r="M116" s="107"/>
    </row>
    <row r="117" spans="1:13" ht="15.6" x14ac:dyDescent="0.25">
      <c r="A117" s="65"/>
      <c r="C117" s="65"/>
      <c r="D117" s="65"/>
      <c r="E117" s="65"/>
      <c r="F117" s="105"/>
      <c r="G117" s="105"/>
      <c r="H117" s="105"/>
      <c r="I117" s="105"/>
      <c r="J117" s="106"/>
      <c r="K117" s="202"/>
      <c r="L117" s="105"/>
      <c r="M117" s="107"/>
    </row>
    <row r="118" spans="1:13" ht="15.6" x14ac:dyDescent="0.25">
      <c r="A118" s="65"/>
      <c r="C118" s="65"/>
      <c r="D118" s="65"/>
      <c r="E118" s="65"/>
      <c r="F118" s="105"/>
      <c r="G118" s="105"/>
      <c r="H118" s="105"/>
      <c r="I118" s="105"/>
      <c r="J118" s="106"/>
      <c r="K118" s="202"/>
      <c r="L118" s="105"/>
      <c r="M118" s="107"/>
    </row>
    <row r="119" spans="1:13" ht="15.6" x14ac:dyDescent="0.25">
      <c r="A119" s="65"/>
      <c r="C119" s="65"/>
      <c r="D119" s="65"/>
      <c r="E119" s="65"/>
      <c r="F119" s="105"/>
      <c r="G119" s="105"/>
      <c r="H119" s="105"/>
      <c r="I119" s="105"/>
      <c r="J119" s="106"/>
      <c r="K119" s="202"/>
      <c r="L119" s="105"/>
      <c r="M119" s="107"/>
    </row>
    <row r="120" spans="1:13" ht="15.6" x14ac:dyDescent="0.25">
      <c r="A120" s="65"/>
      <c r="C120" s="65"/>
      <c r="D120" s="65"/>
      <c r="E120" s="65"/>
      <c r="F120" s="105"/>
      <c r="G120" s="105"/>
      <c r="H120" s="105"/>
      <c r="I120" s="105"/>
      <c r="J120" s="106"/>
      <c r="K120" s="202"/>
      <c r="L120" s="105"/>
      <c r="M120" s="107"/>
    </row>
    <row r="121" spans="1:13" ht="15.6" x14ac:dyDescent="0.25">
      <c r="A121" s="65"/>
      <c r="C121" s="65"/>
      <c r="D121" s="65"/>
      <c r="E121" s="65"/>
      <c r="F121" s="105"/>
      <c r="G121" s="105"/>
      <c r="H121" s="105"/>
      <c r="I121" s="105"/>
      <c r="J121" s="106"/>
      <c r="K121" s="202"/>
      <c r="L121" s="105"/>
      <c r="M121" s="107"/>
    </row>
    <row r="122" spans="1:13" ht="15.6" x14ac:dyDescent="0.25">
      <c r="A122" s="65"/>
      <c r="C122" s="65"/>
      <c r="D122" s="65"/>
      <c r="E122" s="65"/>
      <c r="F122" s="105"/>
      <c r="G122" s="105"/>
      <c r="H122" s="105"/>
      <c r="I122" s="105"/>
      <c r="J122" s="106"/>
      <c r="K122" s="202"/>
      <c r="L122" s="105"/>
      <c r="M122" s="107"/>
    </row>
    <row r="123" spans="1:13" ht="15.6" x14ac:dyDescent="0.25">
      <c r="A123" s="65"/>
      <c r="C123" s="65"/>
      <c r="D123" s="65"/>
      <c r="E123" s="65"/>
      <c r="F123" s="105"/>
      <c r="G123" s="105"/>
      <c r="H123" s="105"/>
      <c r="I123" s="105"/>
      <c r="J123" s="106"/>
      <c r="K123" s="202"/>
      <c r="L123" s="105"/>
      <c r="M123" s="107"/>
    </row>
    <row r="124" spans="1:13" ht="15.6" x14ac:dyDescent="0.25">
      <c r="A124" s="65"/>
      <c r="C124" s="65"/>
      <c r="D124" s="65"/>
      <c r="E124" s="65"/>
      <c r="F124" s="105"/>
      <c r="G124" s="105"/>
      <c r="H124" s="105"/>
      <c r="I124" s="105"/>
      <c r="J124" s="106"/>
      <c r="K124" s="202"/>
      <c r="L124" s="105"/>
      <c r="M124" s="107"/>
    </row>
    <row r="125" spans="1:13" ht="15.6" x14ac:dyDescent="0.25">
      <c r="A125" s="65"/>
      <c r="C125" s="65"/>
      <c r="D125" s="65"/>
      <c r="E125" s="65"/>
      <c r="F125" s="105"/>
      <c r="G125" s="105"/>
      <c r="H125" s="105"/>
      <c r="I125" s="105"/>
      <c r="J125" s="106"/>
      <c r="K125" s="202"/>
      <c r="L125" s="105"/>
      <c r="M125" s="107"/>
    </row>
    <row r="126" spans="1:13" ht="15.6" x14ac:dyDescent="0.25">
      <c r="A126" s="65"/>
      <c r="C126" s="65"/>
      <c r="D126" s="65"/>
      <c r="E126" s="65"/>
      <c r="F126" s="105"/>
      <c r="G126" s="105"/>
      <c r="H126" s="105"/>
      <c r="I126" s="105"/>
      <c r="J126" s="106"/>
      <c r="K126" s="202"/>
      <c r="L126" s="105"/>
      <c r="M126" s="107"/>
    </row>
    <row r="127" spans="1:13" ht="15.6" x14ac:dyDescent="0.25">
      <c r="A127" s="65"/>
      <c r="C127" s="65"/>
      <c r="D127" s="65"/>
      <c r="E127" s="65"/>
      <c r="F127" s="105"/>
      <c r="G127" s="105"/>
      <c r="H127" s="105"/>
      <c r="I127" s="105"/>
      <c r="J127" s="106"/>
      <c r="K127" s="202"/>
      <c r="L127" s="105"/>
      <c r="M127" s="107"/>
    </row>
    <row r="128" spans="1:13" ht="15.6" x14ac:dyDescent="0.25">
      <c r="A128" s="65"/>
      <c r="C128" s="65"/>
      <c r="D128" s="65"/>
      <c r="E128" s="65"/>
      <c r="F128" s="105"/>
      <c r="G128" s="105"/>
      <c r="H128" s="105"/>
      <c r="I128" s="105"/>
      <c r="J128" s="106"/>
      <c r="K128" s="202"/>
      <c r="L128" s="105"/>
      <c r="M128" s="107"/>
    </row>
    <row r="129" spans="1:13" ht="15.6" x14ac:dyDescent="0.25">
      <c r="A129" s="65"/>
      <c r="C129" s="65"/>
      <c r="D129" s="65"/>
      <c r="E129" s="65"/>
      <c r="F129" s="105"/>
      <c r="G129" s="105"/>
      <c r="H129" s="105"/>
      <c r="I129" s="105"/>
      <c r="J129" s="106"/>
      <c r="K129" s="202"/>
      <c r="L129" s="105"/>
      <c r="M129" s="107"/>
    </row>
    <row r="130" spans="1:13" ht="15.6" x14ac:dyDescent="0.25">
      <c r="A130" s="65"/>
      <c r="C130" s="65"/>
      <c r="D130" s="65"/>
      <c r="E130" s="65"/>
      <c r="F130" s="105"/>
      <c r="G130" s="105"/>
      <c r="H130" s="105"/>
      <c r="I130" s="105"/>
      <c r="J130" s="106"/>
      <c r="K130" s="202"/>
      <c r="L130" s="105"/>
      <c r="M130" s="107"/>
    </row>
    <row r="131" spans="1:13" ht="15.6" x14ac:dyDescent="0.25">
      <c r="A131" s="65"/>
      <c r="C131" s="65"/>
      <c r="D131" s="65"/>
      <c r="E131" s="65"/>
      <c r="F131" s="105"/>
      <c r="G131" s="105"/>
      <c r="H131" s="105"/>
      <c r="I131" s="105"/>
      <c r="J131" s="106"/>
      <c r="K131" s="202"/>
      <c r="L131" s="105"/>
      <c r="M131" s="107"/>
    </row>
    <row r="132" spans="1:13" ht="15.6" x14ac:dyDescent="0.25">
      <c r="A132" s="65"/>
      <c r="C132" s="65"/>
      <c r="D132" s="65"/>
      <c r="E132" s="65"/>
      <c r="F132" s="105"/>
      <c r="G132" s="105"/>
      <c r="H132" s="105"/>
      <c r="I132" s="105"/>
      <c r="J132" s="106"/>
      <c r="K132" s="202"/>
      <c r="L132" s="105"/>
      <c r="M132" s="107"/>
    </row>
    <row r="133" spans="1:13" ht="15.6" x14ac:dyDescent="0.25">
      <c r="A133" s="65"/>
      <c r="C133" s="65"/>
      <c r="D133" s="65"/>
      <c r="E133" s="65"/>
      <c r="F133" s="105"/>
      <c r="G133" s="105"/>
      <c r="H133" s="105"/>
      <c r="I133" s="105"/>
      <c r="J133" s="106"/>
      <c r="K133" s="202"/>
      <c r="L133" s="105"/>
      <c r="M133" s="107"/>
    </row>
    <row r="134" spans="1:13" ht="15.6" x14ac:dyDescent="0.25">
      <c r="A134" s="65"/>
      <c r="C134" s="65"/>
      <c r="D134" s="65"/>
      <c r="E134" s="65"/>
      <c r="F134" s="105"/>
      <c r="G134" s="105"/>
      <c r="H134" s="105"/>
      <c r="I134" s="105"/>
      <c r="J134" s="106"/>
      <c r="K134" s="202"/>
      <c r="L134" s="105"/>
      <c r="M134" s="107"/>
    </row>
    <row r="135" spans="1:13" ht="15.6" x14ac:dyDescent="0.25">
      <c r="A135" s="65"/>
      <c r="C135" s="65"/>
      <c r="D135" s="65"/>
      <c r="E135" s="65"/>
      <c r="F135" s="105"/>
      <c r="G135" s="105"/>
      <c r="H135" s="105"/>
      <c r="I135" s="105"/>
      <c r="J135" s="106"/>
      <c r="K135" s="202"/>
      <c r="L135" s="105"/>
      <c r="M135" s="107"/>
    </row>
    <row r="136" spans="1:13" ht="15.6" x14ac:dyDescent="0.25">
      <c r="A136" s="65"/>
      <c r="C136" s="65"/>
      <c r="D136" s="65"/>
      <c r="E136" s="65"/>
      <c r="F136" s="105"/>
      <c r="G136" s="105"/>
      <c r="H136" s="105"/>
      <c r="I136" s="105"/>
      <c r="J136" s="106"/>
      <c r="K136" s="202"/>
      <c r="L136" s="105"/>
      <c r="M136" s="107"/>
    </row>
    <row r="137" spans="1:13" ht="15.6" x14ac:dyDescent="0.25">
      <c r="A137" s="65"/>
      <c r="C137" s="65"/>
      <c r="D137" s="65"/>
      <c r="E137" s="65"/>
      <c r="F137" s="105"/>
      <c r="G137" s="105"/>
      <c r="H137" s="105"/>
      <c r="I137" s="105"/>
      <c r="J137" s="106"/>
      <c r="K137" s="202"/>
      <c r="L137" s="105"/>
      <c r="M137" s="107"/>
    </row>
    <row r="138" spans="1:13" ht="15.6" x14ac:dyDescent="0.25">
      <c r="A138" s="65"/>
      <c r="C138" s="65"/>
      <c r="D138" s="65"/>
      <c r="E138" s="65"/>
      <c r="F138" s="105"/>
      <c r="G138" s="105"/>
      <c r="H138" s="105"/>
      <c r="I138" s="105"/>
      <c r="J138" s="106"/>
      <c r="K138" s="202"/>
      <c r="L138" s="105"/>
      <c r="M138" s="107"/>
    </row>
    <row r="139" spans="1:13" ht="15.6" x14ac:dyDescent="0.25">
      <c r="A139" s="65"/>
      <c r="C139" s="65"/>
      <c r="D139" s="65"/>
      <c r="E139" s="65"/>
      <c r="F139" s="105"/>
      <c r="G139" s="105"/>
      <c r="H139" s="105"/>
      <c r="I139" s="105"/>
      <c r="J139" s="106"/>
      <c r="K139" s="202"/>
      <c r="L139" s="105"/>
      <c r="M139" s="107"/>
    </row>
    <row r="140" spans="1:13" ht="15.6" x14ac:dyDescent="0.25">
      <c r="A140" s="65"/>
      <c r="C140" s="65"/>
      <c r="D140" s="65"/>
      <c r="E140" s="65"/>
      <c r="F140" s="105"/>
      <c r="G140" s="105"/>
      <c r="H140" s="105"/>
      <c r="I140" s="105"/>
      <c r="J140" s="106"/>
      <c r="K140" s="202"/>
      <c r="L140" s="105"/>
      <c r="M140" s="107"/>
    </row>
    <row r="141" spans="1:13" ht="15.6" x14ac:dyDescent="0.25">
      <c r="A141" s="65"/>
      <c r="C141" s="65"/>
      <c r="D141" s="65"/>
      <c r="E141" s="65"/>
      <c r="F141" s="105"/>
      <c r="G141" s="105"/>
      <c r="H141" s="105"/>
      <c r="I141" s="105"/>
      <c r="J141" s="106"/>
      <c r="K141" s="202"/>
      <c r="L141" s="105"/>
      <c r="M141" s="107"/>
    </row>
    <row r="142" spans="1:13" ht="15.6" x14ac:dyDescent="0.25">
      <c r="A142" s="65"/>
      <c r="C142" s="65"/>
      <c r="D142" s="65"/>
      <c r="E142" s="65"/>
      <c r="F142" s="105"/>
      <c r="G142" s="105"/>
      <c r="H142" s="105"/>
      <c r="I142" s="105"/>
      <c r="J142" s="106"/>
      <c r="K142" s="202"/>
      <c r="L142" s="105"/>
      <c r="M142" s="107"/>
    </row>
    <row r="143" spans="1:13" ht="15.6" x14ac:dyDescent="0.25">
      <c r="A143" s="65"/>
      <c r="C143" s="65"/>
      <c r="D143" s="65"/>
      <c r="E143" s="65"/>
      <c r="F143" s="105"/>
      <c r="G143" s="105"/>
      <c r="H143" s="105"/>
      <c r="I143" s="105"/>
      <c r="J143" s="106"/>
      <c r="K143" s="202"/>
      <c r="L143" s="105"/>
      <c r="M143" s="107"/>
    </row>
    <row r="144" spans="1:13" ht="15.6" x14ac:dyDescent="0.25">
      <c r="A144" s="65"/>
      <c r="C144" s="65"/>
      <c r="D144" s="65"/>
      <c r="E144" s="65"/>
      <c r="F144" s="105"/>
      <c r="G144" s="105"/>
      <c r="H144" s="105"/>
      <c r="I144" s="105"/>
      <c r="J144" s="106"/>
      <c r="K144" s="202"/>
      <c r="L144" s="105"/>
      <c r="M144" s="107"/>
    </row>
    <row r="145" spans="1:13" ht="15.6" x14ac:dyDescent="0.25">
      <c r="A145" s="65"/>
      <c r="C145" s="65"/>
      <c r="D145" s="65"/>
      <c r="E145" s="65"/>
      <c r="F145" s="105"/>
      <c r="G145" s="105"/>
      <c r="H145" s="105"/>
      <c r="I145" s="105"/>
      <c r="J145" s="106"/>
      <c r="K145" s="202"/>
      <c r="L145" s="105"/>
      <c r="M145" s="107"/>
    </row>
    <row r="146" spans="1:13" ht="15.6" x14ac:dyDescent="0.25">
      <c r="A146" s="65"/>
      <c r="C146" s="65"/>
      <c r="D146" s="65"/>
      <c r="E146" s="65"/>
      <c r="F146" s="105"/>
      <c r="G146" s="105"/>
      <c r="H146" s="105"/>
      <c r="I146" s="105"/>
      <c r="J146" s="106"/>
      <c r="K146" s="202"/>
      <c r="L146" s="105"/>
      <c r="M146" s="107"/>
    </row>
    <row r="147" spans="1:13" ht="15.6" x14ac:dyDescent="0.25">
      <c r="A147" s="65"/>
      <c r="C147" s="65"/>
      <c r="D147" s="65"/>
      <c r="E147" s="65"/>
      <c r="F147" s="105"/>
      <c r="G147" s="105"/>
      <c r="H147" s="105"/>
      <c r="I147" s="105"/>
      <c r="J147" s="106"/>
      <c r="K147" s="202"/>
      <c r="L147" s="105"/>
      <c r="M147" s="107"/>
    </row>
    <row r="148" spans="1:13" ht="15.6" x14ac:dyDescent="0.25">
      <c r="A148" s="65"/>
      <c r="C148" s="65"/>
      <c r="D148" s="65"/>
      <c r="E148" s="65"/>
      <c r="F148" s="105"/>
      <c r="G148" s="105"/>
      <c r="H148" s="105"/>
      <c r="I148" s="105"/>
      <c r="J148" s="106"/>
      <c r="K148" s="202"/>
      <c r="L148" s="105"/>
      <c r="M148" s="107"/>
    </row>
    <row r="149" spans="1:13" ht="15.6" x14ac:dyDescent="0.25">
      <c r="A149" s="65"/>
      <c r="C149" s="65"/>
      <c r="D149" s="65"/>
      <c r="E149" s="65"/>
      <c r="F149" s="105"/>
      <c r="G149" s="105"/>
      <c r="H149" s="105"/>
      <c r="I149" s="105"/>
      <c r="J149" s="106"/>
      <c r="K149" s="202"/>
      <c r="L149" s="105"/>
      <c r="M149" s="107"/>
    </row>
    <row r="150" spans="1:13" ht="15.6" x14ac:dyDescent="0.25">
      <c r="A150" s="65"/>
      <c r="C150" s="65"/>
      <c r="D150" s="65"/>
      <c r="E150" s="65"/>
      <c r="F150" s="105"/>
      <c r="G150" s="105"/>
      <c r="H150" s="105"/>
      <c r="I150" s="105"/>
      <c r="J150" s="106"/>
      <c r="K150" s="202"/>
      <c r="L150" s="105"/>
      <c r="M150" s="107"/>
    </row>
    <row r="151" spans="1:13" ht="15.6" x14ac:dyDescent="0.25">
      <c r="A151" s="65"/>
      <c r="C151" s="65"/>
      <c r="D151" s="65"/>
      <c r="E151" s="65"/>
      <c r="F151" s="105"/>
      <c r="G151" s="105"/>
      <c r="H151" s="105"/>
      <c r="I151" s="105"/>
      <c r="J151" s="106"/>
      <c r="K151" s="202"/>
      <c r="L151" s="105"/>
      <c r="M151" s="107"/>
    </row>
    <row r="152" spans="1:13" ht="15.6" x14ac:dyDescent="0.25">
      <c r="A152" s="65"/>
      <c r="C152" s="65"/>
      <c r="D152" s="65"/>
      <c r="E152" s="65"/>
      <c r="F152" s="105"/>
      <c r="G152" s="105"/>
      <c r="H152" s="105"/>
      <c r="I152" s="105"/>
      <c r="J152" s="106"/>
      <c r="K152" s="202"/>
      <c r="L152" s="105"/>
      <c r="M152" s="107"/>
    </row>
    <row r="153" spans="1:13" ht="15.6" x14ac:dyDescent="0.25">
      <c r="A153" s="65"/>
      <c r="C153" s="65"/>
      <c r="D153" s="65"/>
      <c r="E153" s="65"/>
      <c r="F153" s="105"/>
      <c r="G153" s="105"/>
      <c r="H153" s="105"/>
      <c r="I153" s="105"/>
      <c r="J153" s="106"/>
      <c r="K153" s="202"/>
      <c r="L153" s="105"/>
      <c r="M153" s="107"/>
    </row>
    <row r="154" spans="1:13" ht="15.6" x14ac:dyDescent="0.25">
      <c r="A154" s="65"/>
      <c r="C154" s="65"/>
      <c r="D154" s="65"/>
      <c r="E154" s="65"/>
      <c r="F154" s="105"/>
      <c r="G154" s="105"/>
      <c r="H154" s="105"/>
      <c r="I154" s="105"/>
      <c r="J154" s="106"/>
      <c r="K154" s="202"/>
      <c r="L154" s="105"/>
      <c r="M154" s="107"/>
    </row>
    <row r="155" spans="1:13" ht="15.6" x14ac:dyDescent="0.25">
      <c r="A155" s="65"/>
      <c r="C155" s="65"/>
      <c r="D155" s="65"/>
      <c r="E155" s="65"/>
      <c r="F155" s="105"/>
      <c r="G155" s="105"/>
      <c r="H155" s="105"/>
      <c r="I155" s="105"/>
      <c r="J155" s="106"/>
      <c r="K155" s="202"/>
      <c r="L155" s="105"/>
      <c r="M155" s="107"/>
    </row>
    <row r="156" spans="1:13" ht="15.6" x14ac:dyDescent="0.25">
      <c r="A156" s="65"/>
      <c r="C156" s="65"/>
      <c r="D156" s="65"/>
      <c r="E156" s="65"/>
      <c r="F156" s="105"/>
      <c r="G156" s="105"/>
      <c r="H156" s="105"/>
      <c r="I156" s="105"/>
      <c r="J156" s="106"/>
      <c r="K156" s="202"/>
      <c r="L156" s="105"/>
      <c r="M156" s="107"/>
    </row>
    <row r="157" spans="1:13" ht="15.6" x14ac:dyDescent="0.25">
      <c r="A157" s="65"/>
      <c r="C157" s="65"/>
      <c r="D157" s="65"/>
      <c r="E157" s="65"/>
      <c r="F157" s="105"/>
      <c r="G157" s="105"/>
      <c r="H157" s="105"/>
      <c r="I157" s="105"/>
      <c r="J157" s="106"/>
      <c r="K157" s="202"/>
      <c r="L157" s="105"/>
      <c r="M157" s="107"/>
    </row>
    <row r="158" spans="1:13" ht="15.6" x14ac:dyDescent="0.25">
      <c r="A158" s="65"/>
      <c r="C158" s="65"/>
      <c r="D158" s="65"/>
      <c r="E158" s="65"/>
      <c r="F158" s="105"/>
      <c r="G158" s="105"/>
      <c r="H158" s="105"/>
      <c r="I158" s="105"/>
      <c r="J158" s="106"/>
      <c r="K158" s="202"/>
      <c r="L158" s="105"/>
      <c r="M158" s="107"/>
    </row>
    <row r="159" spans="1:13" ht="15.6" x14ac:dyDescent="0.25">
      <c r="A159" s="65"/>
      <c r="C159" s="65"/>
      <c r="D159" s="65"/>
      <c r="E159" s="65"/>
      <c r="F159" s="105"/>
      <c r="G159" s="105"/>
      <c r="H159" s="105"/>
      <c r="I159" s="105"/>
      <c r="J159" s="106"/>
      <c r="K159" s="202"/>
      <c r="L159" s="105"/>
      <c r="M159" s="107"/>
    </row>
    <row r="160" spans="1:13" ht="15.6" x14ac:dyDescent="0.25">
      <c r="A160" s="65"/>
      <c r="C160" s="65"/>
      <c r="D160" s="65"/>
      <c r="E160" s="65"/>
      <c r="F160" s="105"/>
      <c r="G160" s="105"/>
      <c r="H160" s="105"/>
      <c r="I160" s="105"/>
      <c r="J160" s="106"/>
      <c r="K160" s="202"/>
      <c r="L160" s="105"/>
      <c r="M160" s="107"/>
    </row>
    <row r="161" spans="1:13" ht="15.6" x14ac:dyDescent="0.25">
      <c r="A161" s="65"/>
      <c r="C161" s="65"/>
      <c r="D161" s="65"/>
      <c r="E161" s="65"/>
      <c r="F161" s="105"/>
      <c r="G161" s="105"/>
      <c r="H161" s="105"/>
      <c r="I161" s="105"/>
      <c r="J161" s="106"/>
      <c r="K161" s="202"/>
      <c r="L161" s="105"/>
      <c r="M161" s="107"/>
    </row>
    <row r="162" spans="1:13" ht="15.6" x14ac:dyDescent="0.25">
      <c r="A162" s="65"/>
      <c r="C162" s="65"/>
      <c r="D162" s="65"/>
      <c r="E162" s="65"/>
      <c r="F162" s="105"/>
      <c r="G162" s="105"/>
      <c r="H162" s="105"/>
      <c r="I162" s="105"/>
      <c r="J162" s="106"/>
      <c r="K162" s="202"/>
      <c r="L162" s="105"/>
      <c r="M162" s="107"/>
    </row>
    <row r="163" spans="1:13" ht="15.6" x14ac:dyDescent="0.25">
      <c r="A163" s="65"/>
      <c r="C163" s="65"/>
      <c r="D163" s="65"/>
      <c r="E163" s="65"/>
      <c r="F163" s="105"/>
      <c r="G163" s="105"/>
      <c r="H163" s="105"/>
      <c r="I163" s="105"/>
      <c r="J163" s="106"/>
      <c r="K163" s="202"/>
      <c r="L163" s="105"/>
      <c r="M163" s="107"/>
    </row>
    <row r="164" spans="1:13" ht="15.6" x14ac:dyDescent="0.25">
      <c r="A164" s="65"/>
      <c r="C164" s="65"/>
      <c r="D164" s="65"/>
      <c r="E164" s="65"/>
      <c r="F164" s="105"/>
      <c r="G164" s="105"/>
      <c r="H164" s="105"/>
      <c r="I164" s="105"/>
      <c r="J164" s="106"/>
      <c r="K164" s="202"/>
      <c r="L164" s="105"/>
      <c r="M164" s="107"/>
    </row>
    <row r="165" spans="1:13" ht="15.6" x14ac:dyDescent="0.25">
      <c r="A165" s="65"/>
      <c r="C165" s="65"/>
      <c r="D165" s="65"/>
      <c r="E165" s="65"/>
      <c r="F165" s="105"/>
      <c r="G165" s="105"/>
      <c r="H165" s="105"/>
      <c r="I165" s="105"/>
      <c r="J165" s="106"/>
      <c r="K165" s="202"/>
      <c r="L165" s="105"/>
      <c r="M165" s="107"/>
    </row>
    <row r="166" spans="1:13" ht="15.6" x14ac:dyDescent="0.25">
      <c r="A166" s="65"/>
      <c r="C166" s="65"/>
      <c r="D166" s="65"/>
      <c r="E166" s="65"/>
      <c r="F166" s="105"/>
      <c r="G166" s="105"/>
      <c r="H166" s="105"/>
      <c r="I166" s="105"/>
      <c r="J166" s="106"/>
      <c r="K166" s="202"/>
      <c r="L166" s="105"/>
      <c r="M166" s="107"/>
    </row>
    <row r="167" spans="1:13" ht="15.6" x14ac:dyDescent="0.25">
      <c r="A167" s="65"/>
      <c r="C167" s="65"/>
      <c r="D167" s="65"/>
      <c r="E167" s="65"/>
      <c r="F167" s="105"/>
      <c r="G167" s="105"/>
      <c r="H167" s="105"/>
      <c r="I167" s="105"/>
      <c r="J167" s="106"/>
      <c r="K167" s="202"/>
      <c r="L167" s="105"/>
      <c r="M167" s="107"/>
    </row>
    <row r="168" spans="1:13" ht="15.6" x14ac:dyDescent="0.25">
      <c r="A168" s="65"/>
      <c r="C168" s="65"/>
      <c r="D168" s="65"/>
      <c r="E168" s="65"/>
      <c r="F168" s="105"/>
      <c r="G168" s="105"/>
      <c r="H168" s="105"/>
      <c r="I168" s="105"/>
      <c r="J168" s="106"/>
      <c r="K168" s="202"/>
      <c r="L168" s="105"/>
      <c r="M168" s="107"/>
    </row>
    <row r="169" spans="1:13" ht="15.6" x14ac:dyDescent="0.25">
      <c r="A169" s="65"/>
      <c r="C169" s="65"/>
      <c r="D169" s="65"/>
      <c r="E169" s="65"/>
      <c r="F169" s="105"/>
      <c r="G169" s="105"/>
      <c r="H169" s="105"/>
      <c r="I169" s="105"/>
      <c r="J169" s="106"/>
      <c r="K169" s="202"/>
      <c r="L169" s="105"/>
      <c r="M169" s="107"/>
    </row>
    <row r="170" spans="1:13" ht="15.6" x14ac:dyDescent="0.25">
      <c r="A170" s="65"/>
      <c r="C170" s="65"/>
      <c r="D170" s="65"/>
      <c r="E170" s="65"/>
      <c r="F170" s="105"/>
      <c r="G170" s="105"/>
      <c r="H170" s="105"/>
      <c r="I170" s="105"/>
      <c r="J170" s="106"/>
      <c r="K170" s="202"/>
      <c r="L170" s="105"/>
      <c r="M170" s="107"/>
    </row>
    <row r="171" spans="1:13" ht="15.6" x14ac:dyDescent="0.25">
      <c r="A171" s="65"/>
      <c r="C171" s="65"/>
      <c r="D171" s="65"/>
      <c r="E171" s="65"/>
      <c r="F171" s="105"/>
      <c r="G171" s="105"/>
      <c r="H171" s="105"/>
      <c r="I171" s="105"/>
      <c r="J171" s="106"/>
      <c r="K171" s="202"/>
      <c r="L171" s="105"/>
      <c r="M171" s="107"/>
    </row>
    <row r="172" spans="1:13" ht="15.6" x14ac:dyDescent="0.25">
      <c r="A172" s="65"/>
      <c r="C172" s="65"/>
      <c r="D172" s="65"/>
      <c r="E172" s="65"/>
      <c r="F172" s="105"/>
      <c r="G172" s="105"/>
      <c r="H172" s="105"/>
      <c r="I172" s="105"/>
      <c r="J172" s="106"/>
      <c r="K172" s="202"/>
      <c r="L172" s="105"/>
      <c r="M172" s="107"/>
    </row>
    <row r="173" spans="1:13" ht="15.6" x14ac:dyDescent="0.25">
      <c r="A173" s="65"/>
      <c r="C173" s="65"/>
      <c r="D173" s="65"/>
      <c r="E173" s="65"/>
      <c r="F173" s="105"/>
      <c r="G173" s="105"/>
      <c r="H173" s="105"/>
      <c r="I173" s="105"/>
      <c r="J173" s="106"/>
      <c r="K173" s="202"/>
      <c r="L173" s="105"/>
      <c r="M173" s="107"/>
    </row>
    <row r="174" spans="1:13" ht="15.6" x14ac:dyDescent="0.25">
      <c r="A174" s="65"/>
      <c r="C174" s="65"/>
      <c r="D174" s="65"/>
      <c r="E174" s="65"/>
      <c r="F174" s="105"/>
      <c r="G174" s="105"/>
      <c r="H174" s="105"/>
      <c r="I174" s="105"/>
      <c r="J174" s="106"/>
      <c r="K174" s="202"/>
      <c r="L174" s="105"/>
      <c r="M174" s="107"/>
    </row>
    <row r="175" spans="1:13" ht="15.6" x14ac:dyDescent="0.25">
      <c r="A175" s="65"/>
      <c r="C175" s="65"/>
      <c r="D175" s="65"/>
      <c r="E175" s="65"/>
      <c r="F175" s="105"/>
      <c r="G175" s="105"/>
      <c r="H175" s="105"/>
      <c r="I175" s="105"/>
      <c r="J175" s="106"/>
      <c r="K175" s="202"/>
      <c r="L175" s="105"/>
      <c r="M175" s="107"/>
    </row>
    <row r="176" spans="1:13" ht="15.6" x14ac:dyDescent="0.25">
      <c r="A176" s="65"/>
      <c r="C176" s="65"/>
      <c r="D176" s="65"/>
      <c r="E176" s="65"/>
      <c r="F176" s="105"/>
      <c r="G176" s="105"/>
      <c r="H176" s="105"/>
      <c r="I176" s="105"/>
      <c r="J176" s="106"/>
      <c r="K176" s="202"/>
      <c r="L176" s="105"/>
      <c r="M176" s="107"/>
    </row>
    <row r="177" spans="1:13" ht="15.6" x14ac:dyDescent="0.25">
      <c r="A177" s="65"/>
      <c r="C177" s="65"/>
      <c r="D177" s="65"/>
      <c r="E177" s="65"/>
      <c r="F177" s="105"/>
      <c r="G177" s="105"/>
      <c r="H177" s="105"/>
      <c r="I177" s="105"/>
      <c r="J177" s="106"/>
      <c r="K177" s="202"/>
      <c r="L177" s="105"/>
      <c r="M177" s="107"/>
    </row>
    <row r="178" spans="1:13" ht="15.6" x14ac:dyDescent="0.25">
      <c r="A178" s="65"/>
      <c r="C178" s="65"/>
      <c r="D178" s="65"/>
      <c r="E178" s="65"/>
      <c r="F178" s="105"/>
      <c r="G178" s="105"/>
      <c r="H178" s="105"/>
      <c r="I178" s="105"/>
      <c r="J178" s="106"/>
      <c r="K178" s="202"/>
      <c r="L178" s="105"/>
      <c r="M178" s="107"/>
    </row>
    <row r="179" spans="1:13" ht="15.6" x14ac:dyDescent="0.25">
      <c r="A179" s="65"/>
      <c r="C179" s="65"/>
      <c r="D179" s="65"/>
      <c r="E179" s="65"/>
      <c r="F179" s="105"/>
      <c r="G179" s="105"/>
      <c r="H179" s="105"/>
      <c r="I179" s="105"/>
      <c r="J179" s="106"/>
      <c r="K179" s="202"/>
      <c r="L179" s="105"/>
      <c r="M179" s="107"/>
    </row>
    <row r="180" spans="1:13" ht="15.6" x14ac:dyDescent="0.25">
      <c r="A180" s="65"/>
      <c r="C180" s="65"/>
      <c r="D180" s="65"/>
      <c r="E180" s="65"/>
      <c r="F180" s="105"/>
      <c r="G180" s="105"/>
      <c r="H180" s="105"/>
      <c r="I180" s="105"/>
      <c r="J180" s="106"/>
      <c r="K180" s="202"/>
      <c r="L180" s="105"/>
      <c r="M180" s="107"/>
    </row>
    <row r="181" spans="1:13" ht="15.6" x14ac:dyDescent="0.25">
      <c r="A181" s="65"/>
      <c r="C181" s="65"/>
      <c r="D181" s="65"/>
      <c r="E181" s="65"/>
      <c r="F181" s="105"/>
      <c r="G181" s="105"/>
      <c r="H181" s="105"/>
      <c r="I181" s="105"/>
      <c r="J181" s="106"/>
      <c r="K181" s="202"/>
      <c r="L181" s="105"/>
      <c r="M181" s="107"/>
    </row>
    <row r="182" spans="1:13" ht="15.6" x14ac:dyDescent="0.25">
      <c r="A182" s="65"/>
      <c r="C182" s="65"/>
      <c r="D182" s="65"/>
      <c r="E182" s="65"/>
      <c r="F182" s="105"/>
      <c r="G182" s="105"/>
      <c r="H182" s="105"/>
      <c r="I182" s="105"/>
      <c r="J182" s="106"/>
      <c r="K182" s="202"/>
      <c r="L182" s="105"/>
      <c r="M182" s="107"/>
    </row>
    <row r="183" spans="1:13" ht="15.6" x14ac:dyDescent="0.25">
      <c r="A183" s="65"/>
      <c r="C183" s="65"/>
      <c r="D183" s="65"/>
      <c r="E183" s="65"/>
      <c r="F183" s="105"/>
      <c r="G183" s="105"/>
      <c r="H183" s="105"/>
      <c r="I183" s="105"/>
      <c r="J183" s="106"/>
      <c r="K183" s="202"/>
      <c r="L183" s="105"/>
      <c r="M183" s="107"/>
    </row>
    <row r="184" spans="1:13" ht="15.6" x14ac:dyDescent="0.25">
      <c r="A184" s="65"/>
      <c r="C184" s="65"/>
      <c r="D184" s="65"/>
      <c r="E184" s="65"/>
      <c r="F184" s="105"/>
      <c r="G184" s="105"/>
      <c r="H184" s="105"/>
      <c r="I184" s="105"/>
      <c r="J184" s="106"/>
      <c r="K184" s="202"/>
      <c r="L184" s="105"/>
      <c r="M184" s="107"/>
    </row>
    <row r="185" spans="1:13" ht="15.6" x14ac:dyDescent="0.25">
      <c r="A185" s="65"/>
      <c r="C185" s="65"/>
      <c r="D185" s="65"/>
      <c r="E185" s="65"/>
      <c r="F185" s="105"/>
      <c r="G185" s="105"/>
      <c r="H185" s="105"/>
      <c r="I185" s="105"/>
      <c r="J185" s="106"/>
      <c r="K185" s="202"/>
      <c r="L185" s="105"/>
      <c r="M185" s="107"/>
    </row>
    <row r="186" spans="1:13" ht="15.6" x14ac:dyDescent="0.25">
      <c r="A186" s="65"/>
      <c r="C186" s="65"/>
      <c r="D186" s="65"/>
      <c r="E186" s="65"/>
      <c r="F186" s="105"/>
      <c r="G186" s="105"/>
      <c r="H186" s="105"/>
      <c r="I186" s="105"/>
      <c r="J186" s="106"/>
      <c r="K186" s="202"/>
      <c r="L186" s="105"/>
      <c r="M186" s="107"/>
    </row>
    <row r="187" spans="1:13" ht="15.6" x14ac:dyDescent="0.25">
      <c r="A187" s="65"/>
      <c r="C187" s="65"/>
      <c r="D187" s="65"/>
      <c r="E187" s="65"/>
      <c r="F187" s="105"/>
      <c r="G187" s="105"/>
      <c r="H187" s="105"/>
      <c r="I187" s="105"/>
      <c r="J187" s="106"/>
      <c r="K187" s="202"/>
      <c r="L187" s="105"/>
      <c r="M187" s="107"/>
    </row>
    <row r="188" spans="1:13" ht="15.6" x14ac:dyDescent="0.25">
      <c r="A188" s="65"/>
      <c r="C188" s="65"/>
      <c r="D188" s="65"/>
      <c r="E188" s="65"/>
      <c r="F188" s="105"/>
      <c r="G188" s="105"/>
      <c r="H188" s="105"/>
      <c r="I188" s="105"/>
      <c r="J188" s="106"/>
      <c r="K188" s="202"/>
      <c r="L188" s="105"/>
      <c r="M188" s="107"/>
    </row>
  </sheetData>
  <mergeCells count="4">
    <mergeCell ref="A2:N2"/>
    <mergeCell ref="A3:N3"/>
    <mergeCell ref="D67:E67"/>
    <mergeCell ref="A1:N1"/>
  </mergeCells>
  <pageMargins left="0.38" right="0.38" top="0.43307086614173229" bottom="0.59055118110236227" header="0.15748031496062992" footer="0.15748031496062992"/>
  <pageSetup paperSize="256" scale="77" firstPageNumber="0" fitToHeight="4"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9"/>
  <sheetViews>
    <sheetView tabSelected="1" zoomScale="80" zoomScaleNormal="80" zoomScaleSheetLayoutView="80" workbookViewId="0">
      <pane xSplit="3" ySplit="4" topLeftCell="D45" activePane="bottomRight" state="frozen"/>
      <selection pane="topRight" activeCell="D1" sqref="D1"/>
      <selection pane="bottomLeft" activeCell="A5" sqref="A5"/>
      <selection pane="bottomRight" activeCell="B90" sqref="B90"/>
    </sheetView>
  </sheetViews>
  <sheetFormatPr defaultColWidth="8.88671875" defaultRowHeight="15" x14ac:dyDescent="0.25"/>
  <cols>
    <col min="1" max="1" width="9.88671875" style="63" customWidth="1"/>
    <col min="2" max="2" width="56.5546875" style="59" customWidth="1"/>
    <col min="3" max="3" width="7.44140625" style="60" customWidth="1"/>
    <col min="4" max="4" width="16.5546875" style="224" customWidth="1"/>
    <col min="5" max="5" width="16.5546875" style="413" customWidth="1"/>
    <col min="6" max="6" width="16.5546875" style="225" customWidth="1"/>
    <col min="7" max="10" width="16.5546875" style="222" customWidth="1"/>
    <col min="11" max="11" width="0.88671875" style="222" customWidth="1"/>
    <col min="12" max="12" width="16.5546875" style="222" customWidth="1"/>
    <col min="13" max="14" width="16.5546875" style="182" hidden="1" customWidth="1"/>
    <col min="15" max="15" width="16.5546875" style="62" hidden="1" customWidth="1"/>
    <col min="16" max="16" width="16.5546875" style="59" hidden="1" customWidth="1"/>
    <col min="17" max="17" width="16.5546875" style="182" hidden="1" customWidth="1"/>
    <col min="18" max="18" width="14.88671875" style="62" hidden="1" customWidth="1"/>
    <col min="19" max="19" width="7.109375" style="30" hidden="1" customWidth="1"/>
    <col min="20" max="20" width="45.109375" style="219" customWidth="1"/>
    <col min="21" max="16384" width="8.88671875" style="39"/>
  </cols>
  <sheetData>
    <row r="1" spans="1:20" ht="24.6" x14ac:dyDescent="0.25">
      <c r="A1" s="221" t="s">
        <v>223</v>
      </c>
      <c r="B1" s="221"/>
      <c r="C1" s="221"/>
      <c r="D1" s="410"/>
      <c r="E1" s="411"/>
      <c r="F1" s="410"/>
      <c r="G1" s="410"/>
      <c r="H1" s="410"/>
      <c r="I1" s="410"/>
      <c r="J1" s="410"/>
      <c r="K1" s="443"/>
      <c r="L1" s="410"/>
      <c r="M1" s="221"/>
      <c r="N1" s="221"/>
      <c r="O1" s="221"/>
      <c r="P1" s="221"/>
      <c r="Q1" s="221"/>
      <c r="R1" s="217"/>
      <c r="S1" s="210"/>
      <c r="T1" s="214" t="s">
        <v>209</v>
      </c>
    </row>
    <row r="2" spans="1:20" ht="21" x14ac:dyDescent="0.25">
      <c r="A2" s="211"/>
      <c r="B2" s="211"/>
      <c r="C2" s="211"/>
      <c r="D2" s="412"/>
      <c r="E2" s="411"/>
      <c r="F2" s="412"/>
      <c r="G2" s="412"/>
      <c r="H2" s="412"/>
      <c r="I2" s="412"/>
      <c r="J2" s="412"/>
      <c r="K2" s="444"/>
      <c r="L2" s="412"/>
      <c r="M2" s="211"/>
      <c r="N2" s="211"/>
      <c r="O2" s="211"/>
      <c r="P2" s="211"/>
      <c r="Q2" s="211"/>
      <c r="R2" s="218"/>
      <c r="S2" s="211"/>
      <c r="T2" s="213"/>
    </row>
    <row r="3" spans="1:20" s="229" customFormat="1" ht="15.6" x14ac:dyDescent="0.25">
      <c r="A3" s="222">
        <v>1</v>
      </c>
      <c r="B3" s="223"/>
      <c r="C3" s="224"/>
      <c r="D3" s="224"/>
      <c r="E3" s="413"/>
      <c r="F3" s="225"/>
      <c r="G3" s="222"/>
      <c r="H3" s="222"/>
      <c r="I3" s="222"/>
      <c r="J3" s="222"/>
      <c r="K3" s="222"/>
      <c r="L3" s="222"/>
      <c r="M3" s="226"/>
      <c r="N3" s="226"/>
      <c r="O3" s="223"/>
      <c r="P3" s="223"/>
      <c r="Q3" s="226"/>
      <c r="R3" s="223"/>
      <c r="S3" s="227"/>
      <c r="T3" s="228"/>
    </row>
    <row r="4" spans="1:20" s="408" customFormat="1" ht="31.2" x14ac:dyDescent="0.25">
      <c r="A4" s="435" t="s">
        <v>0</v>
      </c>
      <c r="B4" s="436" t="s">
        <v>1</v>
      </c>
      <c r="C4" s="436" t="s">
        <v>54</v>
      </c>
      <c r="D4" s="436" t="s">
        <v>120</v>
      </c>
      <c r="E4" s="437" t="s">
        <v>121</v>
      </c>
      <c r="F4" s="437" t="s">
        <v>224</v>
      </c>
      <c r="G4" s="436" t="s">
        <v>210</v>
      </c>
      <c r="H4" s="436" t="s">
        <v>211</v>
      </c>
      <c r="I4" s="436" t="s">
        <v>225</v>
      </c>
      <c r="J4" s="436" t="s">
        <v>159</v>
      </c>
      <c r="K4" s="384"/>
      <c r="L4" s="436" t="s">
        <v>206</v>
      </c>
      <c r="M4" s="438" t="s">
        <v>201</v>
      </c>
      <c r="N4" s="438" t="s">
        <v>202</v>
      </c>
      <c r="O4" s="436" t="s">
        <v>203</v>
      </c>
      <c r="P4" s="436" t="s">
        <v>2</v>
      </c>
      <c r="Q4" s="438" t="s">
        <v>162</v>
      </c>
      <c r="R4" s="436" t="s">
        <v>170</v>
      </c>
      <c r="S4" s="436" t="s">
        <v>4</v>
      </c>
      <c r="T4" s="436" t="s">
        <v>171</v>
      </c>
    </row>
    <row r="5" spans="1:20" s="234" customFormat="1" ht="15.6" x14ac:dyDescent="0.25">
      <c r="A5" s="230"/>
      <c r="B5" s="231"/>
      <c r="C5" s="232"/>
      <c r="D5" s="232"/>
      <c r="E5" s="414"/>
      <c r="F5" s="235"/>
      <c r="G5" s="231"/>
      <c r="H5" s="231"/>
      <c r="I5" s="231"/>
      <c r="J5" s="231"/>
      <c r="K5" s="384"/>
      <c r="L5" s="231"/>
      <c r="M5" s="233"/>
      <c r="N5" s="233"/>
      <c r="O5" s="231"/>
      <c r="P5" s="231"/>
      <c r="Q5" s="233"/>
      <c r="R5" s="231"/>
      <c r="S5" s="231"/>
      <c r="T5" s="236"/>
    </row>
    <row r="6" spans="1:20" s="229" customFormat="1" ht="15.6" x14ac:dyDescent="0.25">
      <c r="A6" s="237">
        <v>1</v>
      </c>
      <c r="B6" s="238" t="s">
        <v>61</v>
      </c>
      <c r="C6" s="239"/>
      <c r="D6" s="249"/>
      <c r="E6" s="415"/>
      <c r="F6" s="249"/>
      <c r="G6" s="249"/>
      <c r="H6" s="249"/>
      <c r="I6" s="249"/>
      <c r="J6" s="249"/>
      <c r="K6" s="385"/>
      <c r="L6" s="249"/>
      <c r="M6" s="242"/>
      <c r="N6" s="242"/>
      <c r="O6" s="241"/>
      <c r="P6" s="241"/>
      <c r="Q6" s="242"/>
      <c r="R6" s="241"/>
      <c r="S6" s="243"/>
      <c r="T6" s="244"/>
    </row>
    <row r="7" spans="1:20" s="223" customFormat="1" ht="15.6" hidden="1" x14ac:dyDescent="0.25">
      <c r="A7" s="245" t="s">
        <v>196</v>
      </c>
      <c r="B7" s="246" t="s">
        <v>197</v>
      </c>
      <c r="C7" s="247">
        <v>2018</v>
      </c>
      <c r="D7" s="249"/>
      <c r="E7" s="415"/>
      <c r="F7" s="249"/>
      <c r="G7" s="249"/>
      <c r="H7" s="249"/>
      <c r="I7" s="249"/>
      <c r="J7" s="249"/>
      <c r="K7" s="385"/>
      <c r="L7" s="249"/>
      <c r="M7" s="251"/>
      <c r="N7" s="251"/>
      <c r="O7" s="251"/>
      <c r="P7" s="251"/>
      <c r="Q7" s="251"/>
      <c r="R7" s="252"/>
      <c r="S7" s="243" t="s">
        <v>66</v>
      </c>
      <c r="T7" s="253"/>
    </row>
    <row r="8" spans="1:20" s="223" customFormat="1" ht="15.6" hidden="1" x14ac:dyDescent="0.25">
      <c r="A8" s="245" t="s">
        <v>196</v>
      </c>
      <c r="B8" s="246" t="s">
        <v>198</v>
      </c>
      <c r="C8" s="247">
        <v>2018</v>
      </c>
      <c r="D8" s="249"/>
      <c r="E8" s="415"/>
      <c r="F8" s="249"/>
      <c r="G8" s="335"/>
      <c r="H8" s="335"/>
      <c r="I8" s="335"/>
      <c r="J8" s="335"/>
      <c r="K8" s="385"/>
      <c r="L8" s="335"/>
      <c r="M8" s="251"/>
      <c r="N8" s="251"/>
      <c r="O8" s="299"/>
      <c r="P8" s="299"/>
      <c r="Q8" s="251"/>
      <c r="R8" s="254"/>
      <c r="S8" s="243" t="s">
        <v>66</v>
      </c>
      <c r="T8" s="253"/>
    </row>
    <row r="9" spans="1:20" s="223" customFormat="1" ht="15.6" x14ac:dyDescent="0.25">
      <c r="A9" s="245">
        <v>1.1000000000000001</v>
      </c>
      <c r="B9" s="246" t="s">
        <v>218</v>
      </c>
      <c r="C9" s="372"/>
      <c r="D9" s="249"/>
      <c r="E9" s="415">
        <v>3000000</v>
      </c>
      <c r="F9" s="249">
        <v>0</v>
      </c>
      <c r="G9" s="373">
        <v>0</v>
      </c>
      <c r="H9" s="373">
        <v>0</v>
      </c>
      <c r="I9" s="373">
        <v>0</v>
      </c>
      <c r="J9" s="373">
        <f>SUM(F9:I9)</f>
        <v>0</v>
      </c>
      <c r="K9" s="386"/>
      <c r="L9" s="320">
        <f>D9+E9-G9</f>
        <v>3000000</v>
      </c>
      <c r="M9" s="339"/>
      <c r="N9" s="340"/>
      <c r="O9" s="340"/>
      <c r="P9" s="340"/>
      <c r="Q9" s="340"/>
      <c r="R9" s="254"/>
      <c r="S9" s="243"/>
      <c r="T9" s="253"/>
    </row>
    <row r="10" spans="1:20" s="223" customFormat="1" ht="15.6" x14ac:dyDescent="0.25">
      <c r="A10" s="245">
        <v>1.2</v>
      </c>
      <c r="B10" s="246" t="s">
        <v>219</v>
      </c>
      <c r="C10" s="372"/>
      <c r="D10" s="249"/>
      <c r="E10" s="415">
        <v>300000</v>
      </c>
      <c r="F10" s="249">
        <v>0</v>
      </c>
      <c r="G10" s="373">
        <f>E10</f>
        <v>300000</v>
      </c>
      <c r="H10" s="373">
        <v>0</v>
      </c>
      <c r="I10" s="373">
        <v>0</v>
      </c>
      <c r="J10" s="373">
        <f t="shared" ref="J10:J11" si="0">SUM(F10:I10)</f>
        <v>300000</v>
      </c>
      <c r="K10" s="386"/>
      <c r="L10" s="320">
        <f t="shared" ref="L10:L11" si="1">D10+E10-G10</f>
        <v>0</v>
      </c>
      <c r="M10" s="339"/>
      <c r="N10" s="340"/>
      <c r="O10" s="340"/>
      <c r="P10" s="340"/>
      <c r="Q10" s="340"/>
      <c r="R10" s="254"/>
      <c r="S10" s="243"/>
      <c r="T10" s="253"/>
    </row>
    <row r="11" spans="1:20" s="223" customFormat="1" ht="15.6" x14ac:dyDescent="0.25">
      <c r="A11" s="245">
        <v>1.3</v>
      </c>
      <c r="B11" s="246" t="s">
        <v>226</v>
      </c>
      <c r="C11" s="372"/>
      <c r="D11" s="249"/>
      <c r="E11" s="415">
        <v>500000</v>
      </c>
      <c r="F11" s="249">
        <v>0</v>
      </c>
      <c r="G11" s="373">
        <f>E11</f>
        <v>500000</v>
      </c>
      <c r="H11" s="373">
        <v>0</v>
      </c>
      <c r="I11" s="373">
        <v>0</v>
      </c>
      <c r="J11" s="373">
        <f t="shared" si="0"/>
        <v>500000</v>
      </c>
      <c r="K11" s="386"/>
      <c r="L11" s="320">
        <f t="shared" si="1"/>
        <v>0</v>
      </c>
      <c r="M11" s="339"/>
      <c r="N11" s="340"/>
      <c r="O11" s="340"/>
      <c r="P11" s="340"/>
      <c r="Q11" s="340"/>
      <c r="R11" s="254"/>
      <c r="S11" s="243"/>
      <c r="T11" s="253"/>
    </row>
    <row r="12" spans="1:20" s="405" customFormat="1" ht="16.2" thickBot="1" x14ac:dyDescent="0.3">
      <c r="A12" s="422"/>
      <c r="B12" s="423"/>
      <c r="C12" s="424"/>
      <c r="D12" s="439">
        <f t="shared" ref="D12:J12" si="2">SUM(D9:D11)</f>
        <v>0</v>
      </c>
      <c r="E12" s="439">
        <f t="shared" si="2"/>
        <v>3800000</v>
      </c>
      <c r="F12" s="439">
        <f t="shared" si="2"/>
        <v>0</v>
      </c>
      <c r="G12" s="439">
        <f t="shared" si="2"/>
        <v>800000</v>
      </c>
      <c r="H12" s="439">
        <f t="shared" si="2"/>
        <v>0</v>
      </c>
      <c r="I12" s="439">
        <f t="shared" si="2"/>
        <v>0</v>
      </c>
      <c r="J12" s="439">
        <f t="shared" si="2"/>
        <v>800000</v>
      </c>
      <c r="K12" s="387"/>
      <c r="L12" s="439">
        <f>SUM(L9:L11)</f>
        <v>3000000</v>
      </c>
      <c r="M12" s="336">
        <f>SUM(M7:M8)</f>
        <v>0</v>
      </c>
      <c r="N12" s="336">
        <f>SUM(N7:N8)</f>
        <v>0</v>
      </c>
      <c r="O12" s="336">
        <f>SUM(O7:O8)</f>
        <v>0</v>
      </c>
      <c r="P12" s="336">
        <f>SUM(P7:P8)</f>
        <v>0</v>
      </c>
      <c r="Q12" s="336">
        <f>SUM(Q7:Q8)</f>
        <v>0</v>
      </c>
      <c r="R12" s="425"/>
      <c r="S12" s="259"/>
      <c r="T12" s="426"/>
    </row>
    <row r="13" spans="1:20" s="229" customFormat="1" ht="15.6" x14ac:dyDescent="0.25">
      <c r="A13" s="260"/>
      <c r="B13" s="261"/>
      <c r="C13" s="239"/>
      <c r="D13" s="305"/>
      <c r="E13" s="416"/>
      <c r="F13" s="323"/>
      <c r="G13" s="310"/>
      <c r="H13" s="310"/>
      <c r="I13" s="310"/>
      <c r="J13" s="310"/>
      <c r="K13" s="383"/>
      <c r="L13" s="310"/>
      <c r="M13" s="257"/>
      <c r="N13" s="257"/>
      <c r="O13" s="275"/>
      <c r="P13" s="275"/>
      <c r="Q13" s="257"/>
      <c r="R13" s="254"/>
      <c r="S13" s="259"/>
      <c r="T13" s="244"/>
    </row>
    <row r="14" spans="1:20" s="229" customFormat="1" ht="15.6" x14ac:dyDescent="0.25">
      <c r="A14" s="262">
        <v>2</v>
      </c>
      <c r="B14" s="263" t="s">
        <v>222</v>
      </c>
      <c r="C14" s="239"/>
      <c r="D14" s="239"/>
      <c r="E14" s="417"/>
      <c r="F14" s="240"/>
      <c r="G14" s="264"/>
      <c r="H14" s="264"/>
      <c r="I14" s="264"/>
      <c r="J14" s="264"/>
      <c r="K14" s="388"/>
      <c r="L14" s="397"/>
      <c r="M14" s="241"/>
      <c r="N14" s="241"/>
      <c r="O14" s="241"/>
      <c r="P14" s="241"/>
      <c r="Q14" s="241"/>
      <c r="R14" s="254"/>
      <c r="S14" s="259"/>
      <c r="T14" s="244"/>
    </row>
    <row r="15" spans="1:20" s="229" customFormat="1" ht="15.6" x14ac:dyDescent="0.25">
      <c r="A15" s="265">
        <v>2.1</v>
      </c>
      <c r="B15" s="246" t="s">
        <v>217</v>
      </c>
      <c r="C15" s="270"/>
      <c r="D15" s="267"/>
      <c r="E15" s="417">
        <v>2000000</v>
      </c>
      <c r="F15" s="240">
        <v>0</v>
      </c>
      <c r="G15" s="271">
        <v>1750000</v>
      </c>
      <c r="H15" s="271">
        <v>1000000</v>
      </c>
      <c r="I15" s="271">
        <v>0</v>
      </c>
      <c r="J15" s="373">
        <f t="shared" ref="J15:J16" si="3">SUM(F15:I15)</f>
        <v>2750000</v>
      </c>
      <c r="K15" s="380"/>
      <c r="L15" s="320">
        <v>0</v>
      </c>
      <c r="M15" s="271"/>
      <c r="N15" s="271"/>
      <c r="O15" s="251"/>
      <c r="P15" s="272"/>
      <c r="Q15" s="271"/>
      <c r="R15" s="252"/>
      <c r="S15" s="273"/>
      <c r="T15" s="268"/>
    </row>
    <row r="16" spans="1:20" s="229" customFormat="1" ht="30" x14ac:dyDescent="0.25">
      <c r="A16" s="265">
        <v>2.2000000000000002</v>
      </c>
      <c r="B16" s="246" t="s">
        <v>227</v>
      </c>
      <c r="C16" s="270"/>
      <c r="D16" s="267">
        <v>500000</v>
      </c>
      <c r="E16" s="417">
        <v>0</v>
      </c>
      <c r="F16" s="240">
        <v>0</v>
      </c>
      <c r="G16" s="271">
        <v>500000</v>
      </c>
      <c r="H16" s="271">
        <v>0</v>
      </c>
      <c r="I16" s="271">
        <v>0</v>
      </c>
      <c r="J16" s="373">
        <f t="shared" si="3"/>
        <v>500000</v>
      </c>
      <c r="K16" s="380"/>
      <c r="L16" s="320">
        <f t="shared" ref="L16" si="4">D16+E16-G16</f>
        <v>0</v>
      </c>
      <c r="M16" s="271"/>
      <c r="N16" s="271"/>
      <c r="O16" s="251"/>
      <c r="P16" s="272"/>
      <c r="Q16" s="271"/>
      <c r="R16" s="254"/>
      <c r="S16" s="273"/>
      <c r="T16" s="268"/>
    </row>
    <row r="17" spans="1:20" s="229" customFormat="1" ht="15.6" x14ac:dyDescent="0.25">
      <c r="A17" s="265">
        <v>2.2999999999999998</v>
      </c>
      <c r="B17" s="246" t="s">
        <v>228</v>
      </c>
      <c r="C17" s="270"/>
      <c r="D17" s="267">
        <v>600000</v>
      </c>
      <c r="E17" s="417">
        <v>0</v>
      </c>
      <c r="F17" s="240">
        <v>0</v>
      </c>
      <c r="G17" s="271">
        <v>600000</v>
      </c>
      <c r="H17" s="271">
        <v>0</v>
      </c>
      <c r="I17" s="271">
        <v>0</v>
      </c>
      <c r="J17" s="373">
        <f t="shared" ref="J17" si="5">SUM(F17:I17)</f>
        <v>600000</v>
      </c>
      <c r="K17" s="380"/>
      <c r="L17" s="320">
        <f t="shared" ref="L17" si="6">D17+E17-G17</f>
        <v>0</v>
      </c>
      <c r="M17" s="271"/>
      <c r="N17" s="271"/>
      <c r="O17" s="251"/>
      <c r="P17" s="272"/>
      <c r="Q17" s="271"/>
      <c r="R17" s="254"/>
      <c r="S17" s="273"/>
      <c r="T17" s="268"/>
    </row>
    <row r="18" spans="1:20" s="405" customFormat="1" ht="16.2" thickBot="1" x14ac:dyDescent="0.3">
      <c r="A18" s="422"/>
      <c r="B18" s="423"/>
      <c r="C18" s="427"/>
      <c r="D18" s="439">
        <f t="shared" ref="D18:J18" si="7">SUM(D15:D17)</f>
        <v>1100000</v>
      </c>
      <c r="E18" s="439">
        <f t="shared" si="7"/>
        <v>2000000</v>
      </c>
      <c r="F18" s="439">
        <f t="shared" si="7"/>
        <v>0</v>
      </c>
      <c r="G18" s="439">
        <f t="shared" si="7"/>
        <v>2850000</v>
      </c>
      <c r="H18" s="439">
        <f t="shared" si="7"/>
        <v>1000000</v>
      </c>
      <c r="I18" s="439">
        <f t="shared" si="7"/>
        <v>0</v>
      </c>
      <c r="J18" s="439">
        <f t="shared" si="7"/>
        <v>3850000</v>
      </c>
      <c r="K18" s="387"/>
      <c r="L18" s="439">
        <f>SUM(L15:L17)</f>
        <v>0</v>
      </c>
      <c r="M18" s="336">
        <f>SUM(M15:M16)</f>
        <v>0</v>
      </c>
      <c r="N18" s="336">
        <f>SUM(N15:N16)</f>
        <v>0</v>
      </c>
      <c r="O18" s="336">
        <f>SUM(O15:O16)</f>
        <v>0</v>
      </c>
      <c r="P18" s="336">
        <f>SUM(P15:P16)</f>
        <v>0</v>
      </c>
      <c r="Q18" s="336">
        <f>SUM(Q15:Q16)</f>
        <v>0</v>
      </c>
      <c r="R18" s="425"/>
      <c r="S18" s="276"/>
      <c r="T18" s="428"/>
    </row>
    <row r="19" spans="1:20" s="229" customFormat="1" ht="15.6" x14ac:dyDescent="0.25">
      <c r="A19" s="255"/>
      <c r="B19" s="246"/>
      <c r="C19" s="274"/>
      <c r="D19" s="341"/>
      <c r="E19" s="416"/>
      <c r="F19" s="323"/>
      <c r="G19" s="342"/>
      <c r="H19" s="342"/>
      <c r="I19" s="342"/>
      <c r="J19" s="342"/>
      <c r="K19" s="389"/>
      <c r="L19" s="342"/>
      <c r="M19" s="280"/>
      <c r="N19" s="280"/>
      <c r="O19" s="343"/>
      <c r="P19" s="343"/>
      <c r="Q19" s="280"/>
      <c r="R19" s="254"/>
      <c r="S19" s="281"/>
      <c r="T19" s="268"/>
    </row>
    <row r="20" spans="1:20" s="223" customFormat="1" ht="15.6" x14ac:dyDescent="0.25">
      <c r="A20" s="262">
        <v>3</v>
      </c>
      <c r="B20" s="263" t="s">
        <v>76</v>
      </c>
      <c r="C20" s="282"/>
      <c r="D20" s="282"/>
      <c r="E20" s="415"/>
      <c r="F20" s="240"/>
      <c r="G20" s="279"/>
      <c r="H20" s="279"/>
      <c r="I20" s="279"/>
      <c r="J20" s="279"/>
      <c r="K20" s="389"/>
      <c r="L20" s="393"/>
      <c r="M20" s="280"/>
      <c r="N20" s="280"/>
      <c r="O20" s="280"/>
      <c r="P20" s="280"/>
      <c r="Q20" s="280"/>
      <c r="R20" s="254"/>
      <c r="S20" s="281"/>
      <c r="T20" s="277"/>
    </row>
    <row r="21" spans="1:20" s="223" customFormat="1" ht="15.6" x14ac:dyDescent="0.25">
      <c r="A21" s="287">
        <v>3.1</v>
      </c>
      <c r="B21" s="288" t="s">
        <v>174</v>
      </c>
      <c r="C21" s="247">
        <v>2019</v>
      </c>
      <c r="D21" s="248">
        <v>800000</v>
      </c>
      <c r="E21" s="248"/>
      <c r="F21" s="285">
        <v>0</v>
      </c>
      <c r="G21" s="298">
        <v>0</v>
      </c>
      <c r="H21" s="250"/>
      <c r="I21" s="250"/>
      <c r="J21" s="250">
        <f t="shared" ref="J21:J29" si="8">SUM(F21:I21)</f>
        <v>0</v>
      </c>
      <c r="K21" s="381"/>
      <c r="L21" s="320">
        <f t="shared" ref="L21:L25" si="9">D21+E21-G21</f>
        <v>800000</v>
      </c>
      <c r="M21" s="365"/>
      <c r="N21" s="251"/>
      <c r="O21" s="251"/>
      <c r="P21" s="251"/>
      <c r="Q21" s="251"/>
      <c r="R21" s="254"/>
      <c r="S21" s="284" t="s">
        <v>64</v>
      </c>
      <c r="T21" s="268"/>
    </row>
    <row r="22" spans="1:20" s="223" customFormat="1" ht="15.6" x14ac:dyDescent="0.25">
      <c r="A22" s="289">
        <v>3.2</v>
      </c>
      <c r="B22" s="288" t="s">
        <v>230</v>
      </c>
      <c r="C22" s="247">
        <v>2019</v>
      </c>
      <c r="D22" s="248">
        <v>300000</v>
      </c>
      <c r="E22" s="248"/>
      <c r="F22" s="240">
        <v>0</v>
      </c>
      <c r="G22" s="298">
        <f>D22</f>
        <v>300000</v>
      </c>
      <c r="H22" s="250"/>
      <c r="I22" s="250"/>
      <c r="J22" s="250">
        <f t="shared" si="8"/>
        <v>300000</v>
      </c>
      <c r="K22" s="381"/>
      <c r="L22" s="320">
        <f t="shared" si="9"/>
        <v>0</v>
      </c>
      <c r="M22" s="365"/>
      <c r="N22" s="251"/>
      <c r="O22" s="251"/>
      <c r="P22" s="251"/>
      <c r="Q22" s="251"/>
      <c r="R22" s="254"/>
      <c r="S22" s="284" t="s">
        <v>64</v>
      </c>
      <c r="T22" s="268"/>
    </row>
    <row r="23" spans="1:20" s="223" customFormat="1" ht="15.6" x14ac:dyDescent="0.25">
      <c r="A23" s="287">
        <v>3.3</v>
      </c>
      <c r="B23" s="288" t="s">
        <v>199</v>
      </c>
      <c r="C23" s="247">
        <v>2019</v>
      </c>
      <c r="D23" s="248">
        <v>200000</v>
      </c>
      <c r="E23" s="248"/>
      <c r="F23" s="240">
        <v>0</v>
      </c>
      <c r="G23" s="298">
        <v>100000</v>
      </c>
      <c r="H23" s="250"/>
      <c r="I23" s="250"/>
      <c r="J23" s="250">
        <f t="shared" si="8"/>
        <v>100000</v>
      </c>
      <c r="K23" s="381"/>
      <c r="L23" s="320">
        <f t="shared" si="9"/>
        <v>100000</v>
      </c>
      <c r="M23" s="365"/>
      <c r="N23" s="251"/>
      <c r="O23" s="251"/>
      <c r="P23" s="251"/>
      <c r="Q23" s="251"/>
      <c r="R23" s="254"/>
      <c r="S23" s="284" t="s">
        <v>64</v>
      </c>
      <c r="T23" s="268"/>
    </row>
    <row r="24" spans="1:20" s="223" customFormat="1" ht="15.6" x14ac:dyDescent="0.25">
      <c r="A24" s="289">
        <v>3.4</v>
      </c>
      <c r="B24" s="290" t="s">
        <v>229</v>
      </c>
      <c r="C24" s="247">
        <v>2019</v>
      </c>
      <c r="D24" s="248">
        <v>450000</v>
      </c>
      <c r="E24" s="248"/>
      <c r="F24" s="316">
        <v>0</v>
      </c>
      <c r="G24" s="298">
        <f>D24</f>
        <v>450000</v>
      </c>
      <c r="H24" s="298"/>
      <c r="I24" s="298"/>
      <c r="J24" s="298">
        <f t="shared" si="8"/>
        <v>450000</v>
      </c>
      <c r="K24" s="381"/>
      <c r="L24" s="320">
        <f t="shared" si="9"/>
        <v>0</v>
      </c>
      <c r="M24" s="365"/>
      <c r="N24" s="251"/>
      <c r="O24" s="299"/>
      <c r="P24" s="251"/>
      <c r="Q24" s="370"/>
      <c r="R24" s="254"/>
      <c r="S24" s="284" t="s">
        <v>64</v>
      </c>
      <c r="T24" s="269"/>
    </row>
    <row r="25" spans="1:20" s="223" customFormat="1" ht="15.6" x14ac:dyDescent="0.25">
      <c r="A25" s="287">
        <v>3.5</v>
      </c>
      <c r="B25" s="283" t="s">
        <v>232</v>
      </c>
      <c r="C25" s="247">
        <v>2019</v>
      </c>
      <c r="D25" s="248">
        <v>700000</v>
      </c>
      <c r="E25" s="248"/>
      <c r="F25" s="285">
        <v>0</v>
      </c>
      <c r="G25" s="298">
        <v>0</v>
      </c>
      <c r="H25" s="250"/>
      <c r="I25" s="250"/>
      <c r="J25" s="373">
        <f t="shared" ref="J25" si="10">SUM(F25:I25)</f>
        <v>0</v>
      </c>
      <c r="K25" s="380"/>
      <c r="L25" s="320">
        <f t="shared" si="9"/>
        <v>700000</v>
      </c>
      <c r="M25" s="365"/>
      <c r="N25" s="251"/>
      <c r="O25" s="251"/>
      <c r="P25" s="251"/>
      <c r="Q25" s="364"/>
      <c r="R25" s="286"/>
      <c r="S25" s="284" t="s">
        <v>64</v>
      </c>
      <c r="T25" s="268"/>
    </row>
    <row r="26" spans="1:20" s="223" customFormat="1" ht="15.6" x14ac:dyDescent="0.25">
      <c r="A26" s="289">
        <v>3.6</v>
      </c>
      <c r="B26" s="283" t="s">
        <v>215</v>
      </c>
      <c r="C26" s="247">
        <v>2019</v>
      </c>
      <c r="D26" s="248">
        <v>250000</v>
      </c>
      <c r="E26" s="248"/>
      <c r="F26" s="285">
        <v>0</v>
      </c>
      <c r="G26" s="298">
        <f>D26</f>
        <v>250000</v>
      </c>
      <c r="H26" s="250"/>
      <c r="I26" s="250"/>
      <c r="J26" s="373">
        <f t="shared" si="8"/>
        <v>250000</v>
      </c>
      <c r="K26" s="380"/>
      <c r="L26" s="320">
        <f t="shared" ref="L26" si="11">D26+E26-G26</f>
        <v>0</v>
      </c>
      <c r="M26" s="365"/>
      <c r="N26" s="251"/>
      <c r="O26" s="251"/>
      <c r="P26" s="251"/>
      <c r="Q26" s="364"/>
      <c r="R26" s="286"/>
      <c r="S26" s="284" t="s">
        <v>64</v>
      </c>
      <c r="T26" s="268"/>
    </row>
    <row r="27" spans="1:20" s="223" customFormat="1" ht="15.6" x14ac:dyDescent="0.25">
      <c r="A27" s="287">
        <v>3.7</v>
      </c>
      <c r="B27" s="283" t="s">
        <v>216</v>
      </c>
      <c r="C27" s="247">
        <v>2019</v>
      </c>
      <c r="D27" s="248">
        <v>700000</v>
      </c>
      <c r="E27" s="248"/>
      <c r="F27" s="285">
        <v>0</v>
      </c>
      <c r="G27" s="298">
        <v>350000</v>
      </c>
      <c r="H27" s="250"/>
      <c r="I27" s="250"/>
      <c r="J27" s="373">
        <f t="shared" si="8"/>
        <v>350000</v>
      </c>
      <c r="K27" s="380"/>
      <c r="L27" s="320">
        <f t="shared" ref="L27" si="12">D27+E27-G27</f>
        <v>350000</v>
      </c>
      <c r="M27" s="365"/>
      <c r="N27" s="251"/>
      <c r="O27" s="251"/>
      <c r="P27" s="251"/>
      <c r="Q27" s="364"/>
      <c r="R27" s="286"/>
      <c r="S27" s="284" t="s">
        <v>64</v>
      </c>
      <c r="T27" s="268"/>
    </row>
    <row r="28" spans="1:20" s="223" customFormat="1" ht="15.6" x14ac:dyDescent="0.25">
      <c r="A28" s="289">
        <v>3.8</v>
      </c>
      <c r="B28" s="283" t="s">
        <v>231</v>
      </c>
      <c r="C28" s="247">
        <v>2019</v>
      </c>
      <c r="D28" s="248">
        <v>100000</v>
      </c>
      <c r="E28" s="248"/>
      <c r="F28" s="285">
        <v>0</v>
      </c>
      <c r="G28" s="298">
        <f>D28</f>
        <v>100000</v>
      </c>
      <c r="H28" s="250"/>
      <c r="I28" s="250"/>
      <c r="J28" s="373">
        <f t="shared" si="8"/>
        <v>100000</v>
      </c>
      <c r="K28" s="380"/>
      <c r="L28" s="320">
        <f t="shared" ref="L28:L30" si="13">D28+E28-G28</f>
        <v>0</v>
      </c>
      <c r="M28" s="365"/>
      <c r="N28" s="251"/>
      <c r="O28" s="251"/>
      <c r="P28" s="251"/>
      <c r="Q28" s="364"/>
      <c r="R28" s="286"/>
      <c r="S28" s="284" t="s">
        <v>64</v>
      </c>
      <c r="T28" s="268"/>
    </row>
    <row r="29" spans="1:20" s="223" customFormat="1" ht="15.6" x14ac:dyDescent="0.25">
      <c r="A29" s="287">
        <v>3.9</v>
      </c>
      <c r="B29" s="283" t="s">
        <v>233</v>
      </c>
      <c r="C29" s="247">
        <v>2019</v>
      </c>
      <c r="D29" s="248">
        <v>0</v>
      </c>
      <c r="E29" s="248">
        <v>8000000</v>
      </c>
      <c r="F29" s="285">
        <v>0</v>
      </c>
      <c r="G29" s="298">
        <v>0</v>
      </c>
      <c r="H29" s="250"/>
      <c r="I29" s="250"/>
      <c r="J29" s="373">
        <f t="shared" si="8"/>
        <v>0</v>
      </c>
      <c r="K29" s="380"/>
      <c r="L29" s="320">
        <f t="shared" si="13"/>
        <v>8000000</v>
      </c>
      <c r="M29" s="365"/>
      <c r="N29" s="251"/>
      <c r="O29" s="251"/>
      <c r="P29" s="251"/>
      <c r="Q29" s="364"/>
      <c r="R29" s="286"/>
      <c r="S29" s="284" t="s">
        <v>64</v>
      </c>
      <c r="T29" s="268"/>
    </row>
    <row r="30" spans="1:20" s="223" customFormat="1" ht="15.6" x14ac:dyDescent="0.25">
      <c r="A30" s="289">
        <v>4</v>
      </c>
      <c r="B30" s="283" t="s">
        <v>234</v>
      </c>
      <c r="C30" s="247">
        <v>2019</v>
      </c>
      <c r="D30" s="248">
        <v>150000</v>
      </c>
      <c r="E30" s="248"/>
      <c r="F30" s="285">
        <v>0</v>
      </c>
      <c r="G30" s="298">
        <v>0</v>
      </c>
      <c r="H30" s="250"/>
      <c r="I30" s="250"/>
      <c r="J30" s="373">
        <f t="shared" ref="J30" si="14">SUM(F30:I30)</f>
        <v>0</v>
      </c>
      <c r="K30" s="380"/>
      <c r="L30" s="320">
        <f t="shared" si="13"/>
        <v>150000</v>
      </c>
      <c r="M30" s="365"/>
      <c r="N30" s="251"/>
      <c r="O30" s="251"/>
      <c r="P30" s="251"/>
      <c r="Q30" s="364"/>
      <c r="R30" s="286"/>
      <c r="S30" s="284" t="s">
        <v>64</v>
      </c>
      <c r="T30" s="268"/>
    </row>
    <row r="31" spans="1:20" s="229" customFormat="1" ht="16.2" thickBot="1" x14ac:dyDescent="0.3">
      <c r="A31" s="282"/>
      <c r="B31" s="291"/>
      <c r="C31" s="239"/>
      <c r="D31" s="439">
        <f>SUM(D21:D30)</f>
        <v>3650000</v>
      </c>
      <c r="E31" s="439">
        <f t="shared" ref="E31:L31" si="15">SUM(E21:E30)</f>
        <v>8000000</v>
      </c>
      <c r="F31" s="439">
        <f t="shared" si="15"/>
        <v>0</v>
      </c>
      <c r="G31" s="439">
        <f t="shared" si="15"/>
        <v>1550000</v>
      </c>
      <c r="H31" s="439">
        <f t="shared" si="15"/>
        <v>0</v>
      </c>
      <c r="I31" s="439">
        <f t="shared" si="15"/>
        <v>0</v>
      </c>
      <c r="J31" s="439">
        <f t="shared" si="15"/>
        <v>1550000</v>
      </c>
      <c r="K31" s="387"/>
      <c r="L31" s="439">
        <f t="shared" si="15"/>
        <v>10100000</v>
      </c>
      <c r="M31" s="336">
        <f>SUM(M21:M24)</f>
        <v>0</v>
      </c>
      <c r="N31" s="336">
        <f>SUM(N21:N24)</f>
        <v>0</v>
      </c>
      <c r="O31" s="336">
        <f>SUM(O21:O24)</f>
        <v>0</v>
      </c>
      <c r="P31" s="336">
        <f>SUM(P21:P24)</f>
        <v>0</v>
      </c>
      <c r="Q31" s="336">
        <f>SUM(Q21:Q24)</f>
        <v>0</v>
      </c>
      <c r="R31" s="254"/>
      <c r="S31" s="292"/>
      <c r="T31" s="244"/>
    </row>
    <row r="32" spans="1:20" s="229" customFormat="1" ht="15.6" x14ac:dyDescent="0.25">
      <c r="A32" s="282"/>
      <c r="B32" s="293"/>
      <c r="C32" s="239"/>
      <c r="D32" s="305"/>
      <c r="E32" s="416"/>
      <c r="F32" s="323"/>
      <c r="G32" s="310"/>
      <c r="H32" s="310"/>
      <c r="I32" s="310"/>
      <c r="J32" s="310"/>
      <c r="K32" s="383"/>
      <c r="L32" s="310"/>
      <c r="M32" s="366"/>
      <c r="N32" s="366"/>
      <c r="O32" s="275"/>
      <c r="P32" s="275"/>
      <c r="Q32" s="366"/>
      <c r="R32" s="254"/>
      <c r="S32" s="292"/>
      <c r="T32" s="244"/>
    </row>
    <row r="33" spans="1:20" s="229" customFormat="1" ht="15.6" x14ac:dyDescent="0.25">
      <c r="A33" s="294">
        <v>4</v>
      </c>
      <c r="B33" s="295" t="s">
        <v>244</v>
      </c>
      <c r="C33" s="278"/>
      <c r="D33" s="278"/>
      <c r="E33" s="417"/>
      <c r="F33" s="240"/>
      <c r="G33" s="279"/>
      <c r="H33" s="279"/>
      <c r="I33" s="279"/>
      <c r="J33" s="279"/>
      <c r="K33" s="389"/>
      <c r="L33" s="279"/>
      <c r="M33" s="367"/>
      <c r="N33" s="367"/>
      <c r="O33" s="280"/>
      <c r="P33" s="280"/>
      <c r="Q33" s="367"/>
      <c r="R33" s="254"/>
      <c r="S33" s="276"/>
      <c r="T33" s="244"/>
    </row>
    <row r="34" spans="1:20" s="223" customFormat="1" ht="15.6" x14ac:dyDescent="0.25">
      <c r="A34" s="296">
        <v>4.0999999999999996</v>
      </c>
      <c r="B34" s="297" t="s">
        <v>166</v>
      </c>
      <c r="C34" s="247">
        <v>2019</v>
      </c>
      <c r="D34" s="248">
        <v>2259000</v>
      </c>
      <c r="E34" s="418"/>
      <c r="F34" s="251">
        <v>0</v>
      </c>
      <c r="G34" s="298">
        <v>2259000</v>
      </c>
      <c r="H34" s="298">
        <v>2300000</v>
      </c>
      <c r="I34" s="298">
        <v>2521000</v>
      </c>
      <c r="J34" s="373">
        <f t="shared" ref="J34:J35" si="16">SUM(F34:I34)</f>
        <v>7080000</v>
      </c>
      <c r="K34" s="380"/>
      <c r="L34" s="320">
        <f t="shared" ref="L34:L35" si="17">D34+E34-G34</f>
        <v>0</v>
      </c>
      <c r="M34" s="391"/>
      <c r="N34" s="251" t="e">
        <f>+#REF!+M34</f>
        <v>#REF!</v>
      </c>
      <c r="O34" s="251"/>
      <c r="P34" s="251" t="e">
        <f t="shared" ref="P34:P35" si="18">N34-O34</f>
        <v>#REF!</v>
      </c>
      <c r="Q34" s="366"/>
      <c r="R34" s="252"/>
      <c r="S34" s="300" t="s">
        <v>63</v>
      </c>
      <c r="T34" s="268"/>
    </row>
    <row r="35" spans="1:20" s="223" customFormat="1" ht="15.6" x14ac:dyDescent="0.25">
      <c r="A35" s="296">
        <v>4.2</v>
      </c>
      <c r="B35" s="297" t="s">
        <v>175</v>
      </c>
      <c r="C35" s="247">
        <v>2019</v>
      </c>
      <c r="D35" s="248">
        <v>0</v>
      </c>
      <c r="E35" s="418"/>
      <c r="F35" s="299">
        <v>0</v>
      </c>
      <c r="G35" s="298">
        <f t="shared" ref="G35" si="19">D35</f>
        <v>0</v>
      </c>
      <c r="H35" s="298">
        <v>0</v>
      </c>
      <c r="I35" s="298">
        <v>0</v>
      </c>
      <c r="J35" s="373">
        <f t="shared" si="16"/>
        <v>0</v>
      </c>
      <c r="K35" s="380"/>
      <c r="L35" s="320">
        <f t="shared" si="17"/>
        <v>0</v>
      </c>
      <c r="M35" s="391"/>
      <c r="N35" s="251" t="e">
        <f>+#REF!+M35</f>
        <v>#REF!</v>
      </c>
      <c r="O35" s="299"/>
      <c r="P35" s="251" t="e">
        <f t="shared" si="18"/>
        <v>#REF!</v>
      </c>
      <c r="Q35" s="366"/>
      <c r="R35" s="254"/>
      <c r="S35" s="300" t="s">
        <v>63</v>
      </c>
      <c r="T35" s="268"/>
    </row>
    <row r="36" spans="1:20" s="223" customFormat="1" ht="15.6" x14ac:dyDescent="0.25">
      <c r="A36" s="296">
        <v>4.3</v>
      </c>
      <c r="B36" s="297" t="s">
        <v>236</v>
      </c>
      <c r="C36" s="247">
        <v>2019</v>
      </c>
      <c r="D36" s="248">
        <v>190000</v>
      </c>
      <c r="E36" s="418"/>
      <c r="F36" s="251">
        <v>0</v>
      </c>
      <c r="G36" s="298">
        <v>0</v>
      </c>
      <c r="H36" s="298">
        <v>0</v>
      </c>
      <c r="I36" s="298">
        <v>0</v>
      </c>
      <c r="J36" s="373">
        <f t="shared" ref="J36:J37" si="20">SUM(F36:I36)</f>
        <v>0</v>
      </c>
      <c r="K36" s="380"/>
      <c r="L36" s="320">
        <f t="shared" ref="L36:L37" si="21">D36+E36-G36</f>
        <v>190000</v>
      </c>
      <c r="M36" s="391"/>
      <c r="N36" s="251" t="e">
        <f>+#REF!+M36</f>
        <v>#REF!</v>
      </c>
      <c r="O36" s="251"/>
      <c r="P36" s="251" t="e">
        <f t="shared" ref="P36:P37" si="22">N36-O36</f>
        <v>#REF!</v>
      </c>
      <c r="Q36" s="366"/>
      <c r="R36" s="252"/>
      <c r="S36" s="300" t="s">
        <v>63</v>
      </c>
      <c r="T36" s="268"/>
    </row>
    <row r="37" spans="1:20" s="223" customFormat="1" ht="30" x14ac:dyDescent="0.25">
      <c r="A37" s="296">
        <v>4.4000000000000004</v>
      </c>
      <c r="B37" s="297" t="s">
        <v>237</v>
      </c>
      <c r="C37" s="247">
        <v>2019</v>
      </c>
      <c r="D37" s="248">
        <v>140000</v>
      </c>
      <c r="E37" s="418"/>
      <c r="F37" s="299">
        <v>0</v>
      </c>
      <c r="G37" s="298">
        <v>0</v>
      </c>
      <c r="H37" s="298">
        <v>0</v>
      </c>
      <c r="I37" s="298">
        <v>0</v>
      </c>
      <c r="J37" s="373">
        <f t="shared" si="20"/>
        <v>0</v>
      </c>
      <c r="K37" s="380"/>
      <c r="L37" s="320">
        <f t="shared" si="21"/>
        <v>140000</v>
      </c>
      <c r="M37" s="391"/>
      <c r="N37" s="251" t="e">
        <f>+#REF!+M37</f>
        <v>#REF!</v>
      </c>
      <c r="O37" s="299"/>
      <c r="P37" s="251" t="e">
        <f t="shared" si="22"/>
        <v>#REF!</v>
      </c>
      <c r="Q37" s="366"/>
      <c r="R37" s="254"/>
      <c r="S37" s="300" t="s">
        <v>63</v>
      </c>
      <c r="T37" s="268"/>
    </row>
    <row r="38" spans="1:20" s="223" customFormat="1" ht="30" x14ac:dyDescent="0.25">
      <c r="A38" s="296">
        <v>4.5</v>
      </c>
      <c r="B38" s="246" t="s">
        <v>235</v>
      </c>
      <c r="C38" s="313">
        <v>2019</v>
      </c>
      <c r="D38" s="248">
        <v>0</v>
      </c>
      <c r="E38" s="248">
        <v>7000000</v>
      </c>
      <c r="F38" s="248">
        <v>0</v>
      </c>
      <c r="G38" s="248">
        <v>1028000</v>
      </c>
      <c r="H38" s="248"/>
      <c r="I38" s="248"/>
      <c r="J38" s="248">
        <f t="shared" ref="J38" si="23">SUM(F38:I38)</f>
        <v>1028000</v>
      </c>
      <c r="K38" s="392"/>
      <c r="L38" s="320">
        <f t="shared" ref="L38" si="24">D38+E38-G38</f>
        <v>5972000</v>
      </c>
      <c r="M38" s="379"/>
      <c r="N38" s="320"/>
      <c r="O38" s="320"/>
      <c r="P38" s="320"/>
      <c r="Q38" s="320"/>
      <c r="R38" s="377"/>
      <c r="S38" s="378"/>
      <c r="T38" s="374"/>
    </row>
    <row r="39" spans="1:20" s="229" customFormat="1" ht="16.2" thickBot="1" x14ac:dyDescent="0.3">
      <c r="A39" s="301"/>
      <c r="B39" s="266"/>
      <c r="C39" s="302"/>
      <c r="D39" s="439">
        <f t="shared" ref="D39:J39" si="25">SUM(D34:D37)</f>
        <v>2589000</v>
      </c>
      <c r="E39" s="439">
        <f t="shared" si="25"/>
        <v>0</v>
      </c>
      <c r="F39" s="439">
        <f t="shared" si="25"/>
        <v>0</v>
      </c>
      <c r="G39" s="439">
        <f t="shared" si="25"/>
        <v>2259000</v>
      </c>
      <c r="H39" s="439">
        <f t="shared" si="25"/>
        <v>2300000</v>
      </c>
      <c r="I39" s="439">
        <f t="shared" si="25"/>
        <v>2521000</v>
      </c>
      <c r="J39" s="439">
        <f t="shared" si="25"/>
        <v>7080000</v>
      </c>
      <c r="K39" s="387"/>
      <c r="L39" s="439">
        <f>SUM(L34:L37)</f>
        <v>330000</v>
      </c>
      <c r="M39" s="336">
        <f>SUM(M34:M35)</f>
        <v>0</v>
      </c>
      <c r="N39" s="336" t="e">
        <f>SUM(N34:N35)+1</f>
        <v>#REF!</v>
      </c>
      <c r="O39" s="336">
        <f>SUM(O34:O35)</f>
        <v>0</v>
      </c>
      <c r="P39" s="336" t="e">
        <f>#REF!-O39</f>
        <v>#REF!</v>
      </c>
      <c r="Q39" s="336">
        <f>SUM(Q34:Q35)</f>
        <v>0</v>
      </c>
      <c r="R39" s="254"/>
      <c r="S39" s="303"/>
      <c r="T39" s="244"/>
    </row>
    <row r="40" spans="1:20" s="229" customFormat="1" ht="15.6" x14ac:dyDescent="0.25">
      <c r="A40" s="304"/>
      <c r="B40" s="261"/>
      <c r="C40" s="305"/>
      <c r="D40" s="305"/>
      <c r="E40" s="416"/>
      <c r="F40" s="323"/>
      <c r="G40" s="310"/>
      <c r="H40" s="310"/>
      <c r="I40" s="310"/>
      <c r="J40" s="310"/>
      <c r="K40" s="383"/>
      <c r="L40" s="310"/>
      <c r="M40" s="366"/>
      <c r="N40" s="366"/>
      <c r="O40" s="275"/>
      <c r="P40" s="275"/>
      <c r="Q40" s="366"/>
      <c r="R40" s="254"/>
      <c r="S40" s="292"/>
      <c r="T40" s="244"/>
    </row>
    <row r="41" spans="1:20" s="229" customFormat="1" ht="15.6" x14ac:dyDescent="0.25">
      <c r="A41" s="294">
        <v>5</v>
      </c>
      <c r="B41" s="238" t="s">
        <v>77</v>
      </c>
      <c r="C41" s="278"/>
      <c r="D41" s="278"/>
      <c r="E41" s="417"/>
      <c r="F41" s="240"/>
      <c r="G41" s="279"/>
      <c r="H41" s="279"/>
      <c r="I41" s="279"/>
      <c r="J41" s="279"/>
      <c r="K41" s="389"/>
      <c r="L41" s="393"/>
      <c r="M41" s="367"/>
      <c r="N41" s="367"/>
      <c r="O41" s="280"/>
      <c r="P41" s="280"/>
      <c r="Q41" s="367"/>
      <c r="R41" s="254"/>
      <c r="S41" s="276"/>
      <c r="T41" s="244"/>
    </row>
    <row r="42" spans="1:20" s="223" customFormat="1" ht="15.6" x14ac:dyDescent="0.25">
      <c r="A42" s="245">
        <v>5.0999999999999996</v>
      </c>
      <c r="B42" s="283" t="s">
        <v>204</v>
      </c>
      <c r="C42" s="313">
        <v>2019</v>
      </c>
      <c r="D42" s="248">
        <v>1000000</v>
      </c>
      <c r="E42" s="248"/>
      <c r="F42" s="248">
        <v>0</v>
      </c>
      <c r="G42" s="248">
        <f t="shared" ref="G42" si="26">D42</f>
        <v>1000000</v>
      </c>
      <c r="H42" s="248">
        <v>1000000</v>
      </c>
      <c r="I42" s="248">
        <v>1000000</v>
      </c>
      <c r="J42" s="248">
        <f>SUM(F42:I42)</f>
        <v>3000000</v>
      </c>
      <c r="K42" s="392"/>
      <c r="L42" s="320">
        <f>D42+E42-G42</f>
        <v>0</v>
      </c>
      <c r="M42" s="379"/>
      <c r="N42" s="320" t="e">
        <f>+#REF!+M42</f>
        <v>#REF!</v>
      </c>
      <c r="O42" s="320"/>
      <c r="P42" s="320" t="e">
        <f>N42-O42</f>
        <v>#REF!</v>
      </c>
      <c r="Q42" s="320"/>
      <c r="R42" s="377"/>
      <c r="S42" s="378" t="s">
        <v>92</v>
      </c>
      <c r="T42" s="374"/>
    </row>
    <row r="43" spans="1:20" s="223" customFormat="1" ht="15.6" x14ac:dyDescent="0.25">
      <c r="A43" s="245">
        <v>5.2</v>
      </c>
      <c r="B43" s="283" t="s">
        <v>208</v>
      </c>
      <c r="C43" s="247">
        <v>2019</v>
      </c>
      <c r="D43" s="248"/>
      <c r="E43" s="248">
        <v>1500000</v>
      </c>
      <c r="F43" s="248">
        <v>0</v>
      </c>
      <c r="G43" s="248">
        <v>500000</v>
      </c>
      <c r="H43" s="248"/>
      <c r="I43" s="248"/>
      <c r="J43" s="248">
        <f t="shared" ref="J43:J50" si="27">SUM(F43:I43)</f>
        <v>500000</v>
      </c>
      <c r="K43" s="380"/>
      <c r="L43" s="320">
        <f t="shared" ref="L43:L50" si="28">D43+E43-G43</f>
        <v>1000000</v>
      </c>
      <c r="M43" s="365"/>
      <c r="N43" s="251" t="e">
        <f>+#REF!+M43</f>
        <v>#REF!</v>
      </c>
      <c r="O43" s="251"/>
      <c r="P43" s="251" t="e">
        <f t="shared" ref="P43:P45" si="29">N43-O43</f>
        <v>#REF!</v>
      </c>
      <c r="Q43" s="364"/>
      <c r="R43" s="254"/>
      <c r="S43" s="276" t="s">
        <v>53</v>
      </c>
      <c r="T43" s="269"/>
    </row>
    <row r="44" spans="1:20" s="223" customFormat="1" ht="15.6" x14ac:dyDescent="0.25">
      <c r="A44" s="245">
        <v>5.3</v>
      </c>
      <c r="B44" s="283" t="s">
        <v>238</v>
      </c>
      <c r="C44" s="247">
        <v>2019</v>
      </c>
      <c r="D44" s="248"/>
      <c r="E44" s="248">
        <v>8000000</v>
      </c>
      <c r="F44" s="248">
        <v>0</v>
      </c>
      <c r="G44" s="248">
        <v>5000000</v>
      </c>
      <c r="H44" s="248"/>
      <c r="I44" s="248"/>
      <c r="J44" s="248">
        <f t="shared" si="27"/>
        <v>5000000</v>
      </c>
      <c r="K44" s="380"/>
      <c r="L44" s="320">
        <f t="shared" si="28"/>
        <v>3000000</v>
      </c>
      <c r="M44" s="365"/>
      <c r="N44" s="251" t="e">
        <f>+#REF!+M44</f>
        <v>#REF!</v>
      </c>
      <c r="O44" s="251"/>
      <c r="P44" s="251" t="e">
        <f t="shared" si="29"/>
        <v>#REF!</v>
      </c>
      <c r="Q44" s="364"/>
      <c r="R44" s="254"/>
      <c r="S44" s="276" t="s">
        <v>53</v>
      </c>
      <c r="T44" s="269"/>
    </row>
    <row r="45" spans="1:20" s="223" customFormat="1" ht="15.6" x14ac:dyDescent="0.25">
      <c r="A45" s="245">
        <v>5.4</v>
      </c>
      <c r="B45" s="283" t="s">
        <v>239</v>
      </c>
      <c r="C45" s="247">
        <v>2019</v>
      </c>
      <c r="D45" s="248"/>
      <c r="E45" s="248">
        <v>1500000</v>
      </c>
      <c r="F45" s="248">
        <v>0</v>
      </c>
      <c r="G45" s="248">
        <v>250000</v>
      </c>
      <c r="H45" s="248"/>
      <c r="I45" s="248"/>
      <c r="J45" s="248">
        <f t="shared" si="27"/>
        <v>250000</v>
      </c>
      <c r="K45" s="380"/>
      <c r="L45" s="320">
        <f t="shared" si="28"/>
        <v>1250000</v>
      </c>
      <c r="M45" s="365"/>
      <c r="N45" s="251" t="e">
        <f>+#REF!+M45</f>
        <v>#REF!</v>
      </c>
      <c r="O45" s="251"/>
      <c r="P45" s="251" t="e">
        <f t="shared" si="29"/>
        <v>#REF!</v>
      </c>
      <c r="Q45" s="364"/>
      <c r="R45" s="254"/>
      <c r="S45" s="276" t="s">
        <v>53</v>
      </c>
      <c r="T45" s="269"/>
    </row>
    <row r="46" spans="1:20" s="223" customFormat="1" ht="15.6" x14ac:dyDescent="0.25">
      <c r="A46" s="245">
        <v>5.5</v>
      </c>
      <c r="B46" s="283" t="s">
        <v>207</v>
      </c>
      <c r="C46" s="313">
        <v>2019</v>
      </c>
      <c r="D46" s="248">
        <v>1000000</v>
      </c>
      <c r="E46" s="248"/>
      <c r="F46" s="248">
        <v>0</v>
      </c>
      <c r="G46" s="248">
        <v>250000</v>
      </c>
      <c r="H46" s="248">
        <v>0</v>
      </c>
      <c r="I46" s="248">
        <v>0</v>
      </c>
      <c r="J46" s="248">
        <f t="shared" si="27"/>
        <v>250000</v>
      </c>
      <c r="K46" s="392"/>
      <c r="L46" s="320">
        <f>D46+E46-G46</f>
        <v>750000</v>
      </c>
      <c r="M46" s="379"/>
      <c r="N46" s="320"/>
      <c r="O46" s="320"/>
      <c r="P46" s="320"/>
      <c r="Q46" s="320"/>
      <c r="R46" s="377"/>
      <c r="S46" s="378"/>
      <c r="T46" s="374"/>
    </row>
    <row r="47" spans="1:20" s="223" customFormat="1" ht="15.6" x14ac:dyDescent="0.25">
      <c r="A47" s="245">
        <v>5.6</v>
      </c>
      <c r="B47" s="283" t="s">
        <v>212</v>
      </c>
      <c r="C47" s="313">
        <v>2019</v>
      </c>
      <c r="D47" s="248">
        <v>600000</v>
      </c>
      <c r="E47" s="248"/>
      <c r="F47" s="248">
        <v>0</v>
      </c>
      <c r="G47" s="248">
        <v>0</v>
      </c>
      <c r="H47" s="248"/>
      <c r="I47" s="248"/>
      <c r="J47" s="248">
        <f t="shared" si="27"/>
        <v>0</v>
      </c>
      <c r="K47" s="392"/>
      <c r="L47" s="320">
        <f t="shared" si="28"/>
        <v>600000</v>
      </c>
      <c r="M47" s="379"/>
      <c r="N47" s="320"/>
      <c r="O47" s="320"/>
      <c r="P47" s="320"/>
      <c r="Q47" s="320"/>
      <c r="R47" s="377"/>
      <c r="S47" s="378"/>
      <c r="T47" s="374"/>
    </row>
    <row r="48" spans="1:20" s="223" customFormat="1" ht="15.6" x14ac:dyDescent="0.25">
      <c r="A48" s="245">
        <v>5.7</v>
      </c>
      <c r="B48" s="283" t="s">
        <v>213</v>
      </c>
      <c r="C48" s="313">
        <v>2019</v>
      </c>
      <c r="D48" s="248">
        <v>500000</v>
      </c>
      <c r="E48" s="248">
        <v>2500000</v>
      </c>
      <c r="F48" s="248">
        <v>0</v>
      </c>
      <c r="G48" s="248">
        <v>0</v>
      </c>
      <c r="H48" s="248"/>
      <c r="I48" s="248"/>
      <c r="J48" s="248">
        <f t="shared" si="27"/>
        <v>0</v>
      </c>
      <c r="K48" s="392"/>
      <c r="L48" s="320">
        <f t="shared" si="28"/>
        <v>3000000</v>
      </c>
      <c r="M48" s="379"/>
      <c r="N48" s="320"/>
      <c r="O48" s="320"/>
      <c r="P48" s="320"/>
      <c r="Q48" s="320"/>
      <c r="R48" s="377"/>
      <c r="S48" s="378"/>
      <c r="T48" s="374"/>
    </row>
    <row r="49" spans="1:20" s="223" customFormat="1" ht="15.6" x14ac:dyDescent="0.25">
      <c r="A49" s="245">
        <v>5.8</v>
      </c>
      <c r="B49" s="283" t="s">
        <v>243</v>
      </c>
      <c r="C49" s="313">
        <v>2019</v>
      </c>
      <c r="D49" s="248">
        <v>0</v>
      </c>
      <c r="E49" s="248">
        <v>2000000</v>
      </c>
      <c r="F49" s="248">
        <v>0</v>
      </c>
      <c r="G49" s="248">
        <f>1000000</f>
        <v>1000000</v>
      </c>
      <c r="H49" s="248"/>
      <c r="I49" s="248"/>
      <c r="J49" s="248">
        <f t="shared" si="27"/>
        <v>1000000</v>
      </c>
      <c r="K49" s="392"/>
      <c r="L49" s="320">
        <f t="shared" si="28"/>
        <v>1000000</v>
      </c>
      <c r="M49" s="379"/>
      <c r="N49" s="320"/>
      <c r="O49" s="320"/>
      <c r="P49" s="320"/>
      <c r="Q49" s="320"/>
      <c r="R49" s="377"/>
      <c r="S49" s="378"/>
      <c r="T49" s="374"/>
    </row>
    <row r="50" spans="1:20" s="223" customFormat="1" ht="15.6" x14ac:dyDescent="0.25">
      <c r="A50" s="245">
        <v>5.9</v>
      </c>
      <c r="B50" s="283" t="s">
        <v>214</v>
      </c>
      <c r="C50" s="313">
        <v>2019</v>
      </c>
      <c r="D50" s="248">
        <v>0</v>
      </c>
      <c r="E50" s="248">
        <v>300000</v>
      </c>
      <c r="F50" s="248">
        <v>0</v>
      </c>
      <c r="G50" s="248">
        <v>0</v>
      </c>
      <c r="H50" s="248"/>
      <c r="I50" s="248"/>
      <c r="J50" s="248">
        <f t="shared" si="27"/>
        <v>0</v>
      </c>
      <c r="K50" s="392"/>
      <c r="L50" s="320">
        <f t="shared" si="28"/>
        <v>300000</v>
      </c>
      <c r="M50" s="379"/>
      <c r="N50" s="320"/>
      <c r="O50" s="320"/>
      <c r="P50" s="320"/>
      <c r="Q50" s="320"/>
      <c r="R50" s="377"/>
      <c r="S50" s="378"/>
      <c r="T50" s="374"/>
    </row>
    <row r="51" spans="1:20" s="223" customFormat="1" ht="15.6" x14ac:dyDescent="0.25">
      <c r="A51" s="245">
        <v>5.9</v>
      </c>
      <c r="B51" s="283" t="s">
        <v>245</v>
      </c>
      <c r="C51" s="313">
        <v>2019</v>
      </c>
      <c r="D51" s="248">
        <v>800000</v>
      </c>
      <c r="E51" s="248">
        <v>0</v>
      </c>
      <c r="F51" s="248">
        <v>0</v>
      </c>
      <c r="G51" s="248">
        <v>800000</v>
      </c>
      <c r="H51" s="248"/>
      <c r="I51" s="248"/>
      <c r="J51" s="248">
        <f t="shared" ref="J51" si="30">SUM(F51:I51)</f>
        <v>800000</v>
      </c>
      <c r="K51" s="392"/>
      <c r="L51" s="320">
        <f t="shared" ref="L51" si="31">D51+E51-G51</f>
        <v>0</v>
      </c>
      <c r="M51" s="379"/>
      <c r="N51" s="320"/>
      <c r="O51" s="320"/>
      <c r="P51" s="320"/>
      <c r="Q51" s="320"/>
      <c r="R51" s="377"/>
      <c r="S51" s="378"/>
      <c r="T51" s="374"/>
    </row>
    <row r="52" spans="1:20" s="229" customFormat="1" ht="16.2" thickBot="1" x14ac:dyDescent="0.3">
      <c r="A52" s="304"/>
      <c r="B52" s="261"/>
      <c r="C52" s="305"/>
      <c r="D52" s="440">
        <f>SUM(D42:D51)</f>
        <v>3900000</v>
      </c>
      <c r="E52" s="440">
        <f t="shared" ref="E52:L52" si="32">SUM(E42:E51)</f>
        <v>15800000</v>
      </c>
      <c r="F52" s="440">
        <f t="shared" si="32"/>
        <v>0</v>
      </c>
      <c r="G52" s="440">
        <f t="shared" si="32"/>
        <v>8800000</v>
      </c>
      <c r="H52" s="440">
        <f t="shared" si="32"/>
        <v>1000000</v>
      </c>
      <c r="I52" s="440">
        <f t="shared" si="32"/>
        <v>1000000</v>
      </c>
      <c r="J52" s="440">
        <f t="shared" si="32"/>
        <v>10800000</v>
      </c>
      <c r="K52" s="387"/>
      <c r="L52" s="440">
        <f t="shared" si="32"/>
        <v>10900000</v>
      </c>
      <c r="M52" s="375">
        <f>SUM(M43:M45)</f>
        <v>0</v>
      </c>
      <c r="N52" s="375" t="e">
        <f>SUM(N43:N45)</f>
        <v>#REF!</v>
      </c>
      <c r="O52" s="375">
        <f>SUM(O43:O45)</f>
        <v>0</v>
      </c>
      <c r="P52" s="375" t="e">
        <f>SUM(P43:P45)</f>
        <v>#REF!</v>
      </c>
      <c r="Q52" s="375">
        <f>SUM(Q43:Q45)</f>
        <v>0</v>
      </c>
      <c r="R52" s="324"/>
      <c r="S52" s="376"/>
      <c r="T52" s="244"/>
    </row>
    <row r="53" spans="1:20" s="229" customFormat="1" ht="15.6" x14ac:dyDescent="0.25">
      <c r="A53" s="304"/>
      <c r="B53" s="293"/>
      <c r="C53" s="239"/>
      <c r="D53" s="305"/>
      <c r="E53" s="416"/>
      <c r="F53" s="272"/>
      <c r="G53" s="310"/>
      <c r="H53" s="310"/>
      <c r="I53" s="310"/>
      <c r="J53" s="310"/>
      <c r="K53" s="383"/>
      <c r="L53" s="347"/>
      <c r="M53" s="366"/>
      <c r="N53" s="366"/>
      <c r="O53" s="275"/>
      <c r="P53" s="275"/>
      <c r="Q53" s="366"/>
      <c r="R53" s="254"/>
      <c r="S53" s="292"/>
      <c r="T53" s="244"/>
    </row>
    <row r="54" spans="1:20" s="229" customFormat="1" ht="15.6" x14ac:dyDescent="0.25">
      <c r="A54" s="281">
        <v>6</v>
      </c>
      <c r="B54" s="263" t="s">
        <v>22</v>
      </c>
      <c r="C54" s="278"/>
      <c r="D54" s="278"/>
      <c r="E54" s="417"/>
      <c r="F54" s="240"/>
      <c r="G54" s="279"/>
      <c r="H54" s="279"/>
      <c r="I54" s="279"/>
      <c r="J54" s="279"/>
      <c r="K54" s="394"/>
      <c r="L54" s="396"/>
      <c r="M54" s="395"/>
      <c r="N54" s="367"/>
      <c r="O54" s="280"/>
      <c r="P54" s="280"/>
      <c r="Q54" s="367"/>
      <c r="R54" s="254"/>
      <c r="S54" s="276"/>
      <c r="T54" s="277"/>
    </row>
    <row r="55" spans="1:20" s="223" customFormat="1" ht="30" x14ac:dyDescent="0.25">
      <c r="A55" s="306" t="s">
        <v>130</v>
      </c>
      <c r="B55" s="307" t="s">
        <v>167</v>
      </c>
      <c r="C55" s="247">
        <v>2019</v>
      </c>
      <c r="D55" s="248">
        <v>1836700</v>
      </c>
      <c r="E55" s="415"/>
      <c r="F55" s="240"/>
      <c r="G55" s="250">
        <f>D55</f>
        <v>1836700</v>
      </c>
      <c r="H55" s="250">
        <v>0</v>
      </c>
      <c r="I55" s="250">
        <v>0</v>
      </c>
      <c r="J55" s="373">
        <f t="shared" ref="J55:J57" si="33">SUM(F55:I55)</f>
        <v>1836700</v>
      </c>
      <c r="K55" s="380"/>
      <c r="L55" s="320">
        <f t="shared" ref="L55:L57" si="34">D55+E55-G55</f>
        <v>0</v>
      </c>
      <c r="M55" s="365"/>
      <c r="N55" s="251" t="e">
        <f>+#REF!+M55</f>
        <v>#REF!</v>
      </c>
      <c r="O55" s="251"/>
      <c r="P55" s="251" t="e">
        <f t="shared" ref="P55:P57" si="35">N55-O55</f>
        <v>#REF!</v>
      </c>
      <c r="Q55" s="364"/>
      <c r="R55" s="252"/>
      <c r="S55" s="284" t="s">
        <v>163</v>
      </c>
      <c r="T55" s="308"/>
    </row>
    <row r="56" spans="1:20" s="223" customFormat="1" ht="30" x14ac:dyDescent="0.25">
      <c r="A56" s="306" t="s">
        <v>131</v>
      </c>
      <c r="B56" s="307" t="s">
        <v>168</v>
      </c>
      <c r="C56" s="247">
        <v>2019</v>
      </c>
      <c r="D56" s="248">
        <v>336640</v>
      </c>
      <c r="E56" s="415"/>
      <c r="F56" s="240"/>
      <c r="G56" s="250">
        <f t="shared" ref="G56:G57" si="36">D56</f>
        <v>336640</v>
      </c>
      <c r="H56" s="250">
        <v>0</v>
      </c>
      <c r="I56" s="250">
        <v>0</v>
      </c>
      <c r="J56" s="373">
        <f t="shared" si="33"/>
        <v>336640</v>
      </c>
      <c r="K56" s="380"/>
      <c r="L56" s="320">
        <f t="shared" si="34"/>
        <v>0</v>
      </c>
      <c r="M56" s="365"/>
      <c r="N56" s="251" t="e">
        <f>+#REF!+M56</f>
        <v>#REF!</v>
      </c>
      <c r="O56" s="251"/>
      <c r="P56" s="251" t="e">
        <f t="shared" si="35"/>
        <v>#REF!</v>
      </c>
      <c r="Q56" s="364"/>
      <c r="R56" s="254"/>
      <c r="S56" s="284" t="s">
        <v>62</v>
      </c>
      <c r="T56" s="309"/>
    </row>
    <row r="57" spans="1:20" s="223" customFormat="1" ht="15.6" hidden="1" x14ac:dyDescent="0.25">
      <c r="A57" s="306" t="s">
        <v>176</v>
      </c>
      <c r="B57" s="307" t="s">
        <v>205</v>
      </c>
      <c r="C57" s="247">
        <v>2019</v>
      </c>
      <c r="D57" s="248">
        <v>0</v>
      </c>
      <c r="E57" s="418"/>
      <c r="F57" s="363"/>
      <c r="G57" s="250">
        <f t="shared" si="36"/>
        <v>0</v>
      </c>
      <c r="H57" s="298">
        <v>0</v>
      </c>
      <c r="I57" s="298">
        <v>0</v>
      </c>
      <c r="J57" s="373">
        <f t="shared" si="33"/>
        <v>0</v>
      </c>
      <c r="K57" s="380"/>
      <c r="L57" s="320">
        <f t="shared" si="34"/>
        <v>0</v>
      </c>
      <c r="M57" s="365"/>
      <c r="N57" s="251" t="e">
        <f>+#REF!+M57</f>
        <v>#REF!</v>
      </c>
      <c r="O57" s="299"/>
      <c r="P57" s="251" t="e">
        <f t="shared" si="35"/>
        <v>#REF!</v>
      </c>
      <c r="Q57" s="370"/>
      <c r="R57" s="254"/>
      <c r="S57" s="284" t="s">
        <v>163</v>
      </c>
      <c r="T57" s="308"/>
    </row>
    <row r="58" spans="1:20" s="229" customFormat="1" ht="16.2" thickBot="1" x14ac:dyDescent="0.3">
      <c r="A58" s="282"/>
      <c r="B58" s="293"/>
      <c r="C58" s="239"/>
      <c r="D58" s="439">
        <f t="shared" ref="D58:Q58" si="37">SUM(D55:D57)</f>
        <v>2173340</v>
      </c>
      <c r="E58" s="441">
        <f t="shared" si="37"/>
        <v>0</v>
      </c>
      <c r="F58" s="442">
        <f t="shared" si="37"/>
        <v>0</v>
      </c>
      <c r="G58" s="442">
        <f t="shared" si="37"/>
        <v>2173340</v>
      </c>
      <c r="H58" s="442">
        <f t="shared" si="37"/>
        <v>0</v>
      </c>
      <c r="I58" s="442">
        <f t="shared" si="37"/>
        <v>0</v>
      </c>
      <c r="J58" s="442">
        <f t="shared" si="37"/>
        <v>2173340</v>
      </c>
      <c r="K58" s="383"/>
      <c r="L58" s="442">
        <f t="shared" si="37"/>
        <v>0</v>
      </c>
      <c r="M58" s="337">
        <f t="shared" ref="M58:N58" si="38">SUM(M55:M57)</f>
        <v>0</v>
      </c>
      <c r="N58" s="337" t="e">
        <f t="shared" si="38"/>
        <v>#REF!</v>
      </c>
      <c r="O58" s="337">
        <f t="shared" si="37"/>
        <v>0</v>
      </c>
      <c r="P58" s="337" t="e">
        <f t="shared" si="37"/>
        <v>#REF!</v>
      </c>
      <c r="Q58" s="337">
        <f t="shared" si="37"/>
        <v>0</v>
      </c>
      <c r="R58" s="254"/>
      <c r="S58" s="292"/>
      <c r="T58" s="244"/>
    </row>
    <row r="59" spans="1:20" s="229" customFormat="1" ht="15.6" x14ac:dyDescent="0.25">
      <c r="A59" s="282"/>
      <c r="B59" s="293"/>
      <c r="C59" s="239"/>
      <c r="D59" s="305"/>
      <c r="E59" s="416"/>
      <c r="F59" s="323"/>
      <c r="G59" s="342"/>
      <c r="H59" s="342"/>
      <c r="I59" s="342"/>
      <c r="J59" s="342"/>
      <c r="K59" s="389"/>
      <c r="L59" s="342"/>
      <c r="M59" s="367"/>
      <c r="N59" s="367"/>
      <c r="O59" s="343"/>
      <c r="P59" s="343"/>
      <c r="Q59" s="367"/>
      <c r="R59" s="254"/>
      <c r="S59" s="292"/>
      <c r="T59" s="244"/>
    </row>
    <row r="60" spans="1:20" s="229" customFormat="1" ht="15.6" hidden="1" x14ac:dyDescent="0.25">
      <c r="A60" s="294">
        <v>7</v>
      </c>
      <c r="B60" s="238" t="s">
        <v>95</v>
      </c>
      <c r="C60" s="278"/>
      <c r="D60" s="278"/>
      <c r="E60" s="417"/>
      <c r="F60" s="240"/>
      <c r="G60" s="279"/>
      <c r="H60" s="279"/>
      <c r="I60" s="279"/>
      <c r="J60" s="279"/>
      <c r="K60" s="389"/>
      <c r="L60" s="279"/>
      <c r="M60" s="367"/>
      <c r="N60" s="367"/>
      <c r="O60" s="280"/>
      <c r="P60" s="280"/>
      <c r="Q60" s="367"/>
      <c r="R60" s="254"/>
      <c r="S60" s="276"/>
      <c r="T60" s="277"/>
    </row>
    <row r="61" spans="1:20" s="229" customFormat="1" ht="15.6" hidden="1" x14ac:dyDescent="0.25">
      <c r="A61" s="255"/>
      <c r="B61" s="246"/>
      <c r="C61" s="256"/>
      <c r="D61" s="344"/>
      <c r="E61" s="419"/>
      <c r="F61" s="299"/>
      <c r="G61" s="298"/>
      <c r="H61" s="298"/>
      <c r="I61" s="298"/>
      <c r="J61" s="298"/>
      <c r="K61" s="381"/>
      <c r="L61" s="298"/>
      <c r="M61" s="364"/>
      <c r="N61" s="364"/>
      <c r="O61" s="299"/>
      <c r="P61" s="299"/>
      <c r="Q61" s="364"/>
      <c r="R61" s="254"/>
      <c r="S61" s="311"/>
      <c r="T61" s="268"/>
    </row>
    <row r="62" spans="1:20" s="229" customFormat="1" ht="16.2" hidden="1" thickBot="1" x14ac:dyDescent="0.3">
      <c r="A62" s="304"/>
      <c r="B62" s="291"/>
      <c r="C62" s="239"/>
      <c r="D62" s="431">
        <f t="shared" ref="D62:Q62" si="39">SUM(D61:D61)</f>
        <v>0</v>
      </c>
      <c r="E62" s="432">
        <f t="shared" si="39"/>
        <v>0</v>
      </c>
      <c r="F62" s="431">
        <f t="shared" si="39"/>
        <v>0</v>
      </c>
      <c r="G62" s="431">
        <f t="shared" si="39"/>
        <v>0</v>
      </c>
      <c r="H62" s="431">
        <f t="shared" si="39"/>
        <v>0</v>
      </c>
      <c r="I62" s="431">
        <f t="shared" si="39"/>
        <v>0</v>
      </c>
      <c r="J62" s="431">
        <f t="shared" si="39"/>
        <v>0</v>
      </c>
      <c r="K62" s="387"/>
      <c r="L62" s="431">
        <f t="shared" si="39"/>
        <v>0</v>
      </c>
      <c r="M62" s="336">
        <f t="shared" ref="M62:N62" si="40">SUM(M61:M61)</f>
        <v>0</v>
      </c>
      <c r="N62" s="336">
        <f t="shared" si="40"/>
        <v>0</v>
      </c>
      <c r="O62" s="336">
        <f t="shared" si="39"/>
        <v>0</v>
      </c>
      <c r="P62" s="336">
        <f t="shared" si="39"/>
        <v>0</v>
      </c>
      <c r="Q62" s="336">
        <f t="shared" si="39"/>
        <v>0</v>
      </c>
      <c r="R62" s="254"/>
      <c r="S62" s="292"/>
      <c r="T62" s="244"/>
    </row>
    <row r="63" spans="1:20" s="229" customFormat="1" ht="15.6" hidden="1" x14ac:dyDescent="0.25">
      <c r="A63" s="282"/>
      <c r="B63" s="293"/>
      <c r="C63" s="239"/>
      <c r="D63" s="305"/>
      <c r="E63" s="416"/>
      <c r="F63" s="323"/>
      <c r="G63" s="342"/>
      <c r="H63" s="342"/>
      <c r="I63" s="342"/>
      <c r="J63" s="342"/>
      <c r="K63" s="389"/>
      <c r="L63" s="342"/>
      <c r="M63" s="367"/>
      <c r="N63" s="367"/>
      <c r="O63" s="343"/>
      <c r="P63" s="343"/>
      <c r="Q63" s="367"/>
      <c r="R63" s="254"/>
      <c r="S63" s="292"/>
      <c r="T63" s="244"/>
    </row>
    <row r="64" spans="1:20" s="229" customFormat="1" ht="15.6" hidden="1" x14ac:dyDescent="0.25">
      <c r="A64" s="294">
        <v>8</v>
      </c>
      <c r="B64" s="238" t="s">
        <v>96</v>
      </c>
      <c r="C64" s="278"/>
      <c r="D64" s="278"/>
      <c r="E64" s="417"/>
      <c r="F64" s="240"/>
      <c r="G64" s="279"/>
      <c r="H64" s="279"/>
      <c r="I64" s="279"/>
      <c r="J64" s="279"/>
      <c r="K64" s="389"/>
      <c r="L64" s="279"/>
      <c r="M64" s="367"/>
      <c r="N64" s="367"/>
      <c r="O64" s="280"/>
      <c r="P64" s="280"/>
      <c r="Q64" s="367"/>
      <c r="R64" s="254"/>
      <c r="S64" s="276"/>
      <c r="T64" s="277"/>
    </row>
    <row r="65" spans="1:20" s="223" customFormat="1" ht="15.6" hidden="1" x14ac:dyDescent="0.25">
      <c r="A65" s="312"/>
      <c r="B65" s="246"/>
      <c r="C65" s="313"/>
      <c r="D65" s="315"/>
      <c r="E65" s="418"/>
      <c r="F65" s="338"/>
      <c r="G65" s="298"/>
      <c r="H65" s="298"/>
      <c r="I65" s="298"/>
      <c r="J65" s="298"/>
      <c r="K65" s="381"/>
      <c r="L65" s="298"/>
      <c r="M65" s="364"/>
      <c r="N65" s="364"/>
      <c r="O65" s="299"/>
      <c r="P65" s="299"/>
      <c r="Q65" s="364"/>
      <c r="R65" s="254"/>
      <c r="S65" s="284"/>
      <c r="T65" s="314"/>
    </row>
    <row r="66" spans="1:20" s="229" customFormat="1" ht="16.2" hidden="1" thickBot="1" x14ac:dyDescent="0.3">
      <c r="A66" s="304"/>
      <c r="B66" s="261"/>
      <c r="C66" s="239"/>
      <c r="D66" s="431">
        <f t="shared" ref="D66:Q66" si="41">SUM(D65:D65)</f>
        <v>0</v>
      </c>
      <c r="E66" s="432">
        <f t="shared" si="41"/>
        <v>0</v>
      </c>
      <c r="F66" s="431">
        <f t="shared" si="41"/>
        <v>0</v>
      </c>
      <c r="G66" s="431">
        <f t="shared" si="41"/>
        <v>0</v>
      </c>
      <c r="H66" s="431">
        <f t="shared" si="41"/>
        <v>0</v>
      </c>
      <c r="I66" s="431">
        <f t="shared" si="41"/>
        <v>0</v>
      </c>
      <c r="J66" s="431">
        <f t="shared" si="41"/>
        <v>0</v>
      </c>
      <c r="K66" s="387"/>
      <c r="L66" s="431">
        <f t="shared" si="41"/>
        <v>0</v>
      </c>
      <c r="M66" s="336">
        <f t="shared" ref="M66:N66" si="42">SUM(M65:M65)</f>
        <v>0</v>
      </c>
      <c r="N66" s="336">
        <f t="shared" si="42"/>
        <v>0</v>
      </c>
      <c r="O66" s="336">
        <f t="shared" si="41"/>
        <v>0</v>
      </c>
      <c r="P66" s="336">
        <f t="shared" si="41"/>
        <v>0</v>
      </c>
      <c r="Q66" s="336">
        <f t="shared" si="41"/>
        <v>0</v>
      </c>
      <c r="R66" s="254"/>
      <c r="S66" s="292"/>
      <c r="T66" s="244"/>
    </row>
    <row r="67" spans="1:20" s="229" customFormat="1" ht="15.6" hidden="1" x14ac:dyDescent="0.25">
      <c r="A67" s="304"/>
      <c r="B67" s="261"/>
      <c r="C67" s="239"/>
      <c r="D67" s="305"/>
      <c r="E67" s="416"/>
      <c r="F67" s="275"/>
      <c r="G67" s="310"/>
      <c r="H67" s="310"/>
      <c r="I67" s="310"/>
      <c r="J67" s="310"/>
      <c r="K67" s="383"/>
      <c r="L67" s="310"/>
      <c r="M67" s="366"/>
      <c r="N67" s="366"/>
      <c r="O67" s="275"/>
      <c r="P67" s="275"/>
      <c r="Q67" s="366"/>
      <c r="R67" s="254"/>
      <c r="S67" s="292"/>
      <c r="T67" s="244"/>
    </row>
    <row r="68" spans="1:20" s="229" customFormat="1" ht="15.6" hidden="1" x14ac:dyDescent="0.25">
      <c r="A68" s="294">
        <v>9</v>
      </c>
      <c r="B68" s="238" t="s">
        <v>161</v>
      </c>
      <c r="C68" s="278"/>
      <c r="D68" s="278"/>
      <c r="E68" s="417"/>
      <c r="F68" s="240"/>
      <c r="G68" s="279"/>
      <c r="H68" s="279"/>
      <c r="I68" s="279"/>
      <c r="J68" s="279"/>
      <c r="K68" s="389"/>
      <c r="L68" s="279"/>
      <c r="M68" s="367"/>
      <c r="N68" s="367"/>
      <c r="O68" s="280"/>
      <c r="P68" s="280"/>
      <c r="Q68" s="367"/>
      <c r="R68" s="254"/>
      <c r="S68" s="276"/>
      <c r="T68" s="277"/>
    </row>
    <row r="69" spans="1:20" s="223" customFormat="1" ht="15.6" hidden="1" x14ac:dyDescent="0.25">
      <c r="A69" s="245" t="s">
        <v>177</v>
      </c>
      <c r="B69" s="297" t="s">
        <v>187</v>
      </c>
      <c r="C69" s="247">
        <v>2019</v>
      </c>
      <c r="D69" s="248" t="e">
        <f>#REF!-F69</f>
        <v>#REF!</v>
      </c>
      <c r="E69" s="418"/>
      <c r="F69" s="316"/>
      <c r="G69" s="298"/>
      <c r="H69" s="298"/>
      <c r="I69" s="298"/>
      <c r="J69" s="298"/>
      <c r="K69" s="381"/>
      <c r="L69" s="298"/>
      <c r="M69" s="368"/>
      <c r="N69" s="251" t="e">
        <f>+#REF!+M69</f>
        <v>#REF!</v>
      </c>
      <c r="O69" s="299"/>
      <c r="P69" s="251" t="e">
        <f t="shared" ref="P69:P77" si="43">N69-O69</f>
        <v>#REF!</v>
      </c>
      <c r="Q69" s="368"/>
      <c r="R69" s="317"/>
      <c r="S69" s="318" t="s">
        <v>63</v>
      </c>
      <c r="T69" s="269"/>
    </row>
    <row r="70" spans="1:20" s="223" customFormat="1" ht="15.6" hidden="1" x14ac:dyDescent="0.25">
      <c r="A70" s="245" t="s">
        <v>178</v>
      </c>
      <c r="B70" s="246" t="s">
        <v>186</v>
      </c>
      <c r="C70" s="247">
        <v>2019</v>
      </c>
      <c r="D70" s="248" t="e">
        <f>#REF!-F70</f>
        <v>#REF!</v>
      </c>
      <c r="E70" s="420"/>
      <c r="F70" s="319"/>
      <c r="G70" s="320"/>
      <c r="H70" s="330"/>
      <c r="I70" s="330"/>
      <c r="J70" s="330"/>
      <c r="K70" s="382"/>
      <c r="L70" s="330"/>
      <c r="M70" s="320"/>
      <c r="N70" s="251" t="e">
        <f>+#REF!+M70</f>
        <v>#REF!</v>
      </c>
      <c r="O70" s="299"/>
      <c r="P70" s="251" t="e">
        <f t="shared" si="43"/>
        <v>#REF!</v>
      </c>
      <c r="Q70" s="320"/>
      <c r="R70" s="321"/>
      <c r="S70" s="318" t="s">
        <v>63</v>
      </c>
      <c r="T70" s="269"/>
    </row>
    <row r="71" spans="1:20" s="223" customFormat="1" ht="30" hidden="1" x14ac:dyDescent="0.25">
      <c r="A71" s="245" t="s">
        <v>179</v>
      </c>
      <c r="B71" s="246" t="s">
        <v>188</v>
      </c>
      <c r="C71" s="247">
        <v>2019</v>
      </c>
      <c r="D71" s="248" t="e">
        <f>#REF!-F71</f>
        <v>#REF!</v>
      </c>
      <c r="E71" s="420"/>
      <c r="F71" s="319"/>
      <c r="G71" s="320"/>
      <c r="H71" s="330"/>
      <c r="I71" s="330"/>
      <c r="J71" s="330"/>
      <c r="K71" s="382"/>
      <c r="L71" s="330"/>
      <c r="M71" s="320"/>
      <c r="N71" s="251" t="e">
        <f>+#REF!+M71</f>
        <v>#REF!</v>
      </c>
      <c r="O71" s="299"/>
      <c r="P71" s="251" t="e">
        <f t="shared" si="43"/>
        <v>#REF!</v>
      </c>
      <c r="Q71" s="320"/>
      <c r="R71" s="321"/>
      <c r="S71" s="318" t="s">
        <v>63</v>
      </c>
      <c r="T71" s="269"/>
    </row>
    <row r="72" spans="1:20" s="223" customFormat="1" ht="15.6" hidden="1" x14ac:dyDescent="0.25">
      <c r="A72" s="245" t="s">
        <v>180</v>
      </c>
      <c r="B72" s="246" t="s">
        <v>189</v>
      </c>
      <c r="C72" s="247">
        <v>2019</v>
      </c>
      <c r="D72" s="248" t="e">
        <f>#REF!-F72</f>
        <v>#REF!</v>
      </c>
      <c r="E72" s="420"/>
      <c r="F72" s="319"/>
      <c r="G72" s="320"/>
      <c r="H72" s="330"/>
      <c r="I72" s="330"/>
      <c r="J72" s="330"/>
      <c r="K72" s="382"/>
      <c r="L72" s="330"/>
      <c r="M72" s="320"/>
      <c r="N72" s="251" t="e">
        <f>+#REF!+M72</f>
        <v>#REF!</v>
      </c>
      <c r="O72" s="299"/>
      <c r="P72" s="251" t="e">
        <f t="shared" si="43"/>
        <v>#REF!</v>
      </c>
      <c r="Q72" s="320"/>
      <c r="R72" s="321"/>
      <c r="S72" s="318" t="s">
        <v>63</v>
      </c>
      <c r="T72" s="269"/>
    </row>
    <row r="73" spans="1:20" s="223" customFormat="1" ht="30" hidden="1" x14ac:dyDescent="0.25">
      <c r="A73" s="245" t="s">
        <v>181</v>
      </c>
      <c r="B73" s="246" t="s">
        <v>190</v>
      </c>
      <c r="C73" s="247">
        <v>2019</v>
      </c>
      <c r="D73" s="248" t="e">
        <f>#REF!-F73</f>
        <v>#REF!</v>
      </c>
      <c r="E73" s="420"/>
      <c r="F73" s="319"/>
      <c r="G73" s="320"/>
      <c r="H73" s="330"/>
      <c r="I73" s="330"/>
      <c r="J73" s="330"/>
      <c r="K73" s="382"/>
      <c r="L73" s="330"/>
      <c r="M73" s="320"/>
      <c r="N73" s="251" t="e">
        <f>+#REF!+M73</f>
        <v>#REF!</v>
      </c>
      <c r="O73" s="299"/>
      <c r="P73" s="251" t="e">
        <f t="shared" si="43"/>
        <v>#REF!</v>
      </c>
      <c r="Q73" s="320"/>
      <c r="R73" s="321"/>
      <c r="S73" s="318" t="s">
        <v>63</v>
      </c>
      <c r="T73" s="269"/>
    </row>
    <row r="74" spans="1:20" s="223" customFormat="1" ht="30" hidden="1" x14ac:dyDescent="0.25">
      <c r="A74" s="245" t="s">
        <v>182</v>
      </c>
      <c r="B74" s="246" t="s">
        <v>191</v>
      </c>
      <c r="C74" s="247">
        <v>2019</v>
      </c>
      <c r="D74" s="248" t="e">
        <f>#REF!-F74</f>
        <v>#REF!</v>
      </c>
      <c r="E74" s="420"/>
      <c r="F74" s="319"/>
      <c r="G74" s="320"/>
      <c r="H74" s="330"/>
      <c r="I74" s="330"/>
      <c r="J74" s="330"/>
      <c r="K74" s="382"/>
      <c r="L74" s="330"/>
      <c r="M74" s="320"/>
      <c r="N74" s="251" t="e">
        <f>+#REF!+M74</f>
        <v>#REF!</v>
      </c>
      <c r="O74" s="299"/>
      <c r="P74" s="251" t="e">
        <f t="shared" si="43"/>
        <v>#REF!</v>
      </c>
      <c r="Q74" s="320"/>
      <c r="R74" s="321"/>
      <c r="S74" s="318" t="s">
        <v>63</v>
      </c>
      <c r="T74" s="269"/>
    </row>
    <row r="75" spans="1:20" s="223" customFormat="1" ht="30" hidden="1" x14ac:dyDescent="0.25">
      <c r="A75" s="245" t="s">
        <v>183</v>
      </c>
      <c r="B75" s="246" t="s">
        <v>192</v>
      </c>
      <c r="C75" s="247">
        <v>2019</v>
      </c>
      <c r="D75" s="248" t="e">
        <f>#REF!-F75</f>
        <v>#REF!</v>
      </c>
      <c r="E75" s="420"/>
      <c r="F75" s="319"/>
      <c r="G75" s="320"/>
      <c r="H75" s="330"/>
      <c r="I75" s="330"/>
      <c r="J75" s="330"/>
      <c r="K75" s="382"/>
      <c r="L75" s="330"/>
      <c r="M75" s="320"/>
      <c r="N75" s="251" t="e">
        <f>+#REF!+M75</f>
        <v>#REF!</v>
      </c>
      <c r="O75" s="299"/>
      <c r="P75" s="251" t="e">
        <f t="shared" si="43"/>
        <v>#REF!</v>
      </c>
      <c r="Q75" s="320"/>
      <c r="R75" s="321"/>
      <c r="S75" s="318" t="s">
        <v>63</v>
      </c>
      <c r="T75" s="269"/>
    </row>
    <row r="76" spans="1:20" s="223" customFormat="1" ht="15.6" hidden="1" x14ac:dyDescent="0.25">
      <c r="A76" s="245" t="s">
        <v>184</v>
      </c>
      <c r="B76" s="246" t="s">
        <v>193</v>
      </c>
      <c r="C76" s="247">
        <v>2019</v>
      </c>
      <c r="D76" s="248" t="e">
        <f>#REF!-F76</f>
        <v>#REF!</v>
      </c>
      <c r="E76" s="420"/>
      <c r="F76" s="319"/>
      <c r="G76" s="320"/>
      <c r="H76" s="320"/>
      <c r="I76" s="320"/>
      <c r="J76" s="320"/>
      <c r="K76" s="390"/>
      <c r="L76" s="320"/>
      <c r="M76" s="320"/>
      <c r="N76" s="251" t="e">
        <f>+#REF!+M76</f>
        <v>#REF!</v>
      </c>
      <c r="O76" s="320"/>
      <c r="P76" s="251" t="e">
        <f t="shared" si="43"/>
        <v>#REF!</v>
      </c>
      <c r="Q76" s="320"/>
      <c r="R76" s="321"/>
      <c r="S76" s="318" t="s">
        <v>63</v>
      </c>
      <c r="T76" s="269"/>
    </row>
    <row r="77" spans="1:20" s="223" customFormat="1" ht="15.6" hidden="1" x14ac:dyDescent="0.25">
      <c r="A77" s="245" t="s">
        <v>185</v>
      </c>
      <c r="B77" s="322" t="s">
        <v>194</v>
      </c>
      <c r="C77" s="247">
        <v>2019</v>
      </c>
      <c r="D77" s="248" t="e">
        <f>#REF!-F77</f>
        <v>#REF!</v>
      </c>
      <c r="E77" s="421"/>
      <c r="F77" s="348"/>
      <c r="G77" s="345"/>
      <c r="H77" s="330"/>
      <c r="I77" s="330"/>
      <c r="J77" s="330"/>
      <c r="K77" s="382"/>
      <c r="L77" s="330"/>
      <c r="M77" s="330"/>
      <c r="N77" s="251" t="e">
        <f>+#REF!+M77</f>
        <v>#REF!</v>
      </c>
      <c r="O77" s="340"/>
      <c r="P77" s="251" t="e">
        <f t="shared" si="43"/>
        <v>#REF!</v>
      </c>
      <c r="Q77" s="320"/>
      <c r="R77" s="324"/>
      <c r="S77" s="318" t="s">
        <v>63</v>
      </c>
      <c r="T77" s="269"/>
    </row>
    <row r="78" spans="1:20" s="229" customFormat="1" ht="16.2" hidden="1" thickBot="1" x14ac:dyDescent="0.3">
      <c r="A78" s="304"/>
      <c r="B78" s="291"/>
      <c r="C78" s="239"/>
      <c r="D78" s="431">
        <f>SUM(D68)</f>
        <v>0</v>
      </c>
      <c r="E78" s="432">
        <f t="shared" ref="E78:Q78" si="44">SUM(E69:E77)</f>
        <v>0</v>
      </c>
      <c r="F78" s="431">
        <f>SUM(F69:F77)</f>
        <v>0</v>
      </c>
      <c r="G78" s="431">
        <f t="shared" si="44"/>
        <v>0</v>
      </c>
      <c r="H78" s="431">
        <f t="shared" si="44"/>
        <v>0</v>
      </c>
      <c r="I78" s="431">
        <f t="shared" si="44"/>
        <v>0</v>
      </c>
      <c r="J78" s="431">
        <f t="shared" si="44"/>
        <v>0</v>
      </c>
      <c r="K78" s="387"/>
      <c r="L78" s="431">
        <f t="shared" si="44"/>
        <v>0</v>
      </c>
      <c r="M78" s="336">
        <f t="shared" ref="M78" si="45">SUM(M69:M77)</f>
        <v>0</v>
      </c>
      <c r="N78" s="336" t="e">
        <f>SUM(N69:N77)+1</f>
        <v>#REF!</v>
      </c>
      <c r="O78" s="336">
        <f t="shared" si="44"/>
        <v>0</v>
      </c>
      <c r="P78" s="336" t="e">
        <f t="shared" si="44"/>
        <v>#REF!</v>
      </c>
      <c r="Q78" s="336">
        <f t="shared" si="44"/>
        <v>0</v>
      </c>
      <c r="R78" s="254"/>
      <c r="S78" s="292"/>
      <c r="T78" s="244"/>
    </row>
    <row r="79" spans="1:20" s="229" customFormat="1" ht="15.6" hidden="1" x14ac:dyDescent="0.25">
      <c r="A79" s="304"/>
      <c r="B79" s="261"/>
      <c r="C79" s="239"/>
      <c r="D79" s="305"/>
      <c r="E79" s="416"/>
      <c r="F79" s="275"/>
      <c r="G79" s="310"/>
      <c r="H79" s="310"/>
      <c r="I79" s="310"/>
      <c r="J79" s="310"/>
      <c r="K79" s="383"/>
      <c r="L79" s="310"/>
      <c r="M79" s="366"/>
      <c r="N79" s="366"/>
      <c r="O79" s="275"/>
      <c r="P79" s="275"/>
      <c r="Q79" s="366"/>
      <c r="R79" s="254"/>
      <c r="S79" s="292"/>
      <c r="T79" s="244"/>
    </row>
    <row r="80" spans="1:20" s="229" customFormat="1" ht="15.6" hidden="1" x14ac:dyDescent="0.25">
      <c r="A80" s="294">
        <v>10</v>
      </c>
      <c r="B80" s="238" t="s">
        <v>97</v>
      </c>
      <c r="C80" s="278"/>
      <c r="D80" s="278"/>
      <c r="E80" s="417"/>
      <c r="F80" s="240"/>
      <c r="G80" s="279"/>
      <c r="H80" s="279"/>
      <c r="I80" s="279"/>
      <c r="J80" s="279"/>
      <c r="K80" s="389"/>
      <c r="L80" s="279"/>
      <c r="M80" s="367"/>
      <c r="N80" s="367"/>
      <c r="O80" s="280"/>
      <c r="P80" s="280"/>
      <c r="Q80" s="367"/>
      <c r="R80" s="254"/>
      <c r="S80" s="276"/>
      <c r="T80" s="277"/>
    </row>
    <row r="81" spans="1:20" s="229" customFormat="1" ht="15.6" hidden="1" x14ac:dyDescent="0.25">
      <c r="A81" s="255"/>
      <c r="B81" s="246"/>
      <c r="C81" s="325"/>
      <c r="D81" s="344"/>
      <c r="E81" s="419"/>
      <c r="F81" s="338"/>
      <c r="G81" s="298"/>
      <c r="H81" s="298"/>
      <c r="I81" s="298"/>
      <c r="J81" s="298"/>
      <c r="K81" s="381"/>
      <c r="L81" s="298"/>
      <c r="M81" s="364"/>
      <c r="N81" s="364"/>
      <c r="O81" s="299"/>
      <c r="P81" s="299"/>
      <c r="Q81" s="364"/>
      <c r="R81" s="254"/>
      <c r="S81" s="326"/>
      <c r="T81" s="268"/>
    </row>
    <row r="82" spans="1:20" s="229" customFormat="1" ht="16.2" hidden="1" thickBot="1" x14ac:dyDescent="0.3">
      <c r="A82" s="304"/>
      <c r="B82" s="261"/>
      <c r="C82" s="239"/>
      <c r="D82" s="431">
        <f t="shared" ref="D82:E82" si="46">SUM(D81:D81)</f>
        <v>0</v>
      </c>
      <c r="E82" s="432">
        <f t="shared" si="46"/>
        <v>0</v>
      </c>
      <c r="F82" s="431">
        <f>SUM(F81:F81)</f>
        <v>0</v>
      </c>
      <c r="G82" s="431">
        <f t="shared" ref="G82:Q82" si="47">SUM(G81:G81)</f>
        <v>0</v>
      </c>
      <c r="H82" s="431">
        <f t="shared" si="47"/>
        <v>0</v>
      </c>
      <c r="I82" s="431">
        <f t="shared" si="47"/>
        <v>0</v>
      </c>
      <c r="J82" s="431">
        <f t="shared" si="47"/>
        <v>0</v>
      </c>
      <c r="K82" s="387"/>
      <c r="L82" s="431">
        <f t="shared" si="47"/>
        <v>0</v>
      </c>
      <c r="M82" s="336">
        <f t="shared" ref="M82:N82" si="48">SUM(M81:M81)</f>
        <v>0</v>
      </c>
      <c r="N82" s="336">
        <f t="shared" si="48"/>
        <v>0</v>
      </c>
      <c r="O82" s="336">
        <f t="shared" si="47"/>
        <v>0</v>
      </c>
      <c r="P82" s="336">
        <f t="shared" si="47"/>
        <v>0</v>
      </c>
      <c r="Q82" s="336">
        <f t="shared" si="47"/>
        <v>0</v>
      </c>
      <c r="R82" s="254"/>
      <c r="S82" s="292"/>
      <c r="T82" s="244"/>
    </row>
    <row r="83" spans="1:20" s="229" customFormat="1" ht="15.6" hidden="1" x14ac:dyDescent="0.25">
      <c r="A83" s="304"/>
      <c r="B83" s="261"/>
      <c r="C83" s="239"/>
      <c r="D83" s="305"/>
      <c r="E83" s="416"/>
      <c r="F83" s="275"/>
      <c r="G83" s="310"/>
      <c r="H83" s="310"/>
      <c r="I83" s="310"/>
      <c r="J83" s="310"/>
      <c r="K83" s="383"/>
      <c r="L83" s="310"/>
      <c r="M83" s="366"/>
      <c r="N83" s="366"/>
      <c r="O83" s="275"/>
      <c r="P83" s="275"/>
      <c r="Q83" s="366"/>
      <c r="R83" s="254"/>
      <c r="S83" s="292"/>
      <c r="T83" s="244"/>
    </row>
    <row r="84" spans="1:20" s="229" customFormat="1" ht="15.6" hidden="1" x14ac:dyDescent="0.25">
      <c r="A84" s="281">
        <v>11</v>
      </c>
      <c r="B84" s="263" t="s">
        <v>164</v>
      </c>
      <c r="C84" s="278"/>
      <c r="D84" s="278"/>
      <c r="E84" s="417"/>
      <c r="F84" s="251"/>
      <c r="G84" s="258"/>
      <c r="H84" s="258"/>
      <c r="I84" s="258"/>
      <c r="J84" s="258"/>
      <c r="K84" s="383"/>
      <c r="L84" s="258"/>
      <c r="M84" s="366"/>
      <c r="N84" s="366"/>
      <c r="O84" s="257"/>
      <c r="P84" s="257"/>
      <c r="Q84" s="366"/>
      <c r="R84" s="254"/>
      <c r="S84" s="292"/>
      <c r="T84" s="244"/>
    </row>
    <row r="85" spans="1:20" s="229" customFormat="1" ht="15.6" hidden="1" x14ac:dyDescent="0.25">
      <c r="A85" s="304"/>
      <c r="B85" s="261"/>
      <c r="C85" s="239"/>
      <c r="D85" s="344"/>
      <c r="E85" s="419"/>
      <c r="F85" s="299"/>
      <c r="G85" s="298"/>
      <c r="H85" s="298"/>
      <c r="I85" s="298"/>
      <c r="J85" s="298"/>
      <c r="K85" s="381"/>
      <c r="L85" s="298"/>
      <c r="M85" s="371"/>
      <c r="N85" s="369"/>
      <c r="O85" s="299"/>
      <c r="P85" s="299"/>
      <c r="Q85" s="371"/>
      <c r="R85" s="254"/>
      <c r="S85" s="327"/>
      <c r="T85" s="268"/>
    </row>
    <row r="86" spans="1:20" s="229" customFormat="1" ht="16.2" hidden="1" thickBot="1" x14ac:dyDescent="0.3">
      <c r="A86" s="282"/>
      <c r="B86" s="293"/>
      <c r="C86" s="239"/>
      <c r="D86" s="431">
        <f t="shared" ref="D86:Q86" si="49">SUM(D85:D85)</f>
        <v>0</v>
      </c>
      <c r="E86" s="432">
        <f t="shared" si="49"/>
        <v>0</v>
      </c>
      <c r="F86" s="431">
        <f t="shared" si="49"/>
        <v>0</v>
      </c>
      <c r="G86" s="431">
        <f t="shared" si="49"/>
        <v>0</v>
      </c>
      <c r="H86" s="431">
        <f t="shared" si="49"/>
        <v>0</v>
      </c>
      <c r="I86" s="431">
        <f t="shared" si="49"/>
        <v>0</v>
      </c>
      <c r="J86" s="431">
        <f t="shared" si="49"/>
        <v>0</v>
      </c>
      <c r="K86" s="387"/>
      <c r="L86" s="431">
        <f t="shared" si="49"/>
        <v>0</v>
      </c>
      <c r="M86" s="336">
        <f t="shared" ref="M86:N86" si="50">SUM(M85:M85)</f>
        <v>0</v>
      </c>
      <c r="N86" s="336">
        <f t="shared" si="50"/>
        <v>0</v>
      </c>
      <c r="O86" s="336">
        <f t="shared" si="49"/>
        <v>0</v>
      </c>
      <c r="P86" s="336">
        <f t="shared" si="49"/>
        <v>0</v>
      </c>
      <c r="Q86" s="336">
        <f t="shared" si="49"/>
        <v>0</v>
      </c>
      <c r="R86" s="257"/>
      <c r="S86" s="292"/>
      <c r="T86" s="244"/>
    </row>
    <row r="87" spans="1:20" s="229" customFormat="1" ht="15.6" hidden="1" x14ac:dyDescent="0.25">
      <c r="A87" s="304"/>
      <c r="B87" s="261"/>
      <c r="C87" s="239"/>
      <c r="D87" s="346"/>
      <c r="E87" s="409"/>
      <c r="F87" s="346"/>
      <c r="G87" s="347"/>
      <c r="H87" s="347"/>
      <c r="I87" s="347"/>
      <c r="J87" s="347"/>
      <c r="K87" s="383"/>
      <c r="L87" s="347"/>
      <c r="M87" s="366"/>
      <c r="N87" s="366"/>
      <c r="O87" s="346"/>
      <c r="P87" s="346"/>
      <c r="Q87" s="366"/>
      <c r="R87" s="257"/>
      <c r="S87" s="292"/>
      <c r="T87" s="244"/>
    </row>
    <row r="88" spans="1:20" s="430" customFormat="1" ht="16.2" thickBot="1" x14ac:dyDescent="0.3">
      <c r="A88" s="281"/>
      <c r="B88" s="263"/>
      <c r="C88" s="429"/>
      <c r="D88" s="439">
        <f t="shared" ref="D88:J88" si="51">D12+D18+D31+D39+D52+D86+D58+D62+D66+D78+D82</f>
        <v>13412340</v>
      </c>
      <c r="E88" s="439">
        <f t="shared" si="51"/>
        <v>29600000</v>
      </c>
      <c r="F88" s="439">
        <f t="shared" si="51"/>
        <v>0</v>
      </c>
      <c r="G88" s="439">
        <f t="shared" si="51"/>
        <v>18432340</v>
      </c>
      <c r="H88" s="439">
        <f t="shared" si="51"/>
        <v>4300000</v>
      </c>
      <c r="I88" s="439">
        <f t="shared" si="51"/>
        <v>3521000</v>
      </c>
      <c r="J88" s="439">
        <f t="shared" si="51"/>
        <v>26253340</v>
      </c>
      <c r="K88" s="387"/>
      <c r="L88" s="439">
        <f t="shared" ref="L88:Q88" si="52">L12+L18+L31+L39+L52+L86+L58+L62+L66+L78+L82</f>
        <v>24330000</v>
      </c>
      <c r="M88" s="336">
        <f t="shared" si="52"/>
        <v>0</v>
      </c>
      <c r="N88" s="336" t="e">
        <f t="shared" si="52"/>
        <v>#REF!</v>
      </c>
      <c r="O88" s="336">
        <f t="shared" si="52"/>
        <v>0</v>
      </c>
      <c r="P88" s="336" t="e">
        <f t="shared" si="52"/>
        <v>#REF!</v>
      </c>
      <c r="Q88" s="336">
        <f t="shared" si="52"/>
        <v>0</v>
      </c>
      <c r="R88" s="280"/>
      <c r="S88" s="292"/>
      <c r="T88" s="236"/>
    </row>
    <row r="89" spans="1:20" s="328" customFormat="1" ht="15.6" x14ac:dyDescent="0.25">
      <c r="A89" s="222"/>
      <c r="B89" s="329"/>
      <c r="D89" s="449"/>
      <c r="E89" s="450"/>
      <c r="F89" s="330"/>
      <c r="G89" s="331"/>
      <c r="H89" s="331"/>
      <c r="I89" s="331"/>
      <c r="J89" s="331"/>
      <c r="K89" s="331"/>
      <c r="L89" s="331"/>
      <c r="M89" s="332"/>
      <c r="N89" s="332"/>
      <c r="O89" s="226"/>
      <c r="P89" s="332"/>
      <c r="Q89" s="332"/>
      <c r="R89" s="333"/>
      <c r="S89" s="227"/>
      <c r="T89" s="334"/>
    </row>
    <row r="90" spans="1:20" s="405" customFormat="1" ht="15.6" x14ac:dyDescent="0.25">
      <c r="A90" s="227"/>
      <c r="B90" s="399" t="s">
        <v>220</v>
      </c>
      <c r="C90" s="227"/>
      <c r="D90" s="227"/>
      <c r="E90" s="225"/>
      <c r="F90" s="400"/>
      <c r="G90" s="433">
        <f>+G10+G11+G15+G29+G43+G44+G45+G49+G50+G38</f>
        <v>10328000</v>
      </c>
      <c r="H90" s="227"/>
      <c r="I90" s="227"/>
      <c r="J90" s="227"/>
      <c r="K90" s="227"/>
      <c r="L90" s="227"/>
      <c r="M90" s="401"/>
      <c r="N90" s="401"/>
      <c r="O90" s="402"/>
      <c r="P90" s="403"/>
      <c r="Q90" s="401"/>
      <c r="R90" s="402"/>
      <c r="S90" s="227"/>
      <c r="T90" s="404"/>
    </row>
    <row r="91" spans="1:20" s="399" customFormat="1" ht="15.6" x14ac:dyDescent="0.25">
      <c r="A91" s="227"/>
      <c r="C91" s="227"/>
      <c r="D91" s="227"/>
      <c r="E91" s="225"/>
      <c r="F91" s="400"/>
      <c r="G91" s="433"/>
      <c r="H91" s="227"/>
      <c r="I91" s="227"/>
      <c r="J91" s="227"/>
      <c r="K91" s="227"/>
      <c r="L91" s="227"/>
      <c r="M91" s="401"/>
      <c r="N91" s="401"/>
      <c r="O91" s="402"/>
      <c r="P91" s="403"/>
      <c r="Q91" s="401"/>
      <c r="R91" s="402"/>
      <c r="S91" s="227"/>
      <c r="T91" s="404"/>
    </row>
    <row r="92" spans="1:20" s="399" customFormat="1" ht="15.6" x14ac:dyDescent="0.25">
      <c r="A92" s="227"/>
      <c r="B92" s="399" t="s">
        <v>240</v>
      </c>
      <c r="C92" s="227"/>
      <c r="D92" s="227"/>
      <c r="E92" s="225"/>
      <c r="F92" s="400"/>
      <c r="G92" s="433">
        <f>G42</f>
        <v>1000000</v>
      </c>
      <c r="H92" s="227"/>
      <c r="I92" s="227"/>
      <c r="J92" s="227"/>
      <c r="K92" s="227"/>
      <c r="L92" s="227"/>
      <c r="M92" s="401"/>
      <c r="N92" s="401"/>
      <c r="O92" s="402"/>
      <c r="P92" s="403"/>
      <c r="Q92" s="401"/>
      <c r="R92" s="402"/>
      <c r="S92" s="227"/>
      <c r="T92" s="404"/>
    </row>
    <row r="93" spans="1:20" s="399" customFormat="1" ht="15.6" x14ac:dyDescent="0.25">
      <c r="A93" s="227"/>
      <c r="C93" s="227"/>
      <c r="D93" s="227"/>
      <c r="E93" s="225"/>
      <c r="F93" s="400"/>
      <c r="G93" s="433"/>
      <c r="H93" s="227"/>
      <c r="I93" s="227"/>
      <c r="J93" s="227"/>
      <c r="K93" s="227"/>
      <c r="L93" s="227"/>
      <c r="M93" s="401"/>
      <c r="N93" s="401"/>
      <c r="O93" s="402"/>
      <c r="P93" s="403"/>
      <c r="Q93" s="401"/>
      <c r="R93" s="402"/>
      <c r="S93" s="227"/>
      <c r="T93" s="404"/>
    </row>
    <row r="94" spans="1:20" s="229" customFormat="1" ht="15.6" x14ac:dyDescent="0.25">
      <c r="A94" s="222"/>
      <c r="B94" s="399" t="s">
        <v>241</v>
      </c>
      <c r="C94" s="224"/>
      <c r="D94" s="224"/>
      <c r="E94" s="413"/>
      <c r="F94" s="225"/>
      <c r="G94" s="433">
        <f>G34</f>
        <v>2259000</v>
      </c>
      <c r="H94" s="222"/>
      <c r="I94" s="222"/>
      <c r="J94" s="222"/>
      <c r="K94" s="222"/>
      <c r="L94" s="222"/>
      <c r="M94" s="226"/>
      <c r="N94" s="226"/>
      <c r="O94" s="223"/>
      <c r="P94" s="398"/>
      <c r="Q94" s="226"/>
      <c r="R94" s="223"/>
      <c r="S94" s="227"/>
      <c r="T94" s="228"/>
    </row>
    <row r="95" spans="1:20" s="229" customFormat="1" ht="15.6" x14ac:dyDescent="0.25">
      <c r="A95" s="222"/>
      <c r="B95" s="399"/>
      <c r="C95" s="224"/>
      <c r="D95" s="224"/>
      <c r="E95" s="413"/>
      <c r="F95" s="225"/>
      <c r="G95" s="227"/>
      <c r="H95" s="222"/>
      <c r="I95" s="222"/>
      <c r="J95" s="222"/>
      <c r="K95" s="222"/>
      <c r="L95" s="222"/>
      <c r="M95" s="226"/>
      <c r="N95" s="226"/>
      <c r="O95" s="223"/>
      <c r="P95" s="398"/>
      <c r="Q95" s="226"/>
      <c r="R95" s="223"/>
      <c r="S95" s="227"/>
      <c r="T95" s="228"/>
    </row>
    <row r="96" spans="1:20" s="405" customFormat="1" ht="15.6" x14ac:dyDescent="0.25">
      <c r="A96" s="227"/>
      <c r="B96" s="399" t="s">
        <v>221</v>
      </c>
      <c r="C96" s="406"/>
      <c r="D96" s="406"/>
      <c r="E96" s="413"/>
      <c r="F96" s="400"/>
      <c r="G96" s="433">
        <f>G88-G90-G92-G94</f>
        <v>4845340</v>
      </c>
      <c r="H96" s="227"/>
      <c r="I96" s="227"/>
      <c r="J96" s="227"/>
      <c r="K96" s="227"/>
      <c r="L96" s="227"/>
      <c r="M96" s="407"/>
      <c r="N96" s="407"/>
      <c r="O96" s="399"/>
      <c r="P96" s="399"/>
      <c r="Q96" s="407"/>
      <c r="R96" s="399"/>
      <c r="S96" s="227"/>
      <c r="T96" s="404"/>
    </row>
    <row r="97" spans="2:7" ht="15.6" x14ac:dyDescent="0.25">
      <c r="B97" s="399"/>
      <c r="G97" s="433"/>
    </row>
    <row r="98" spans="2:7" ht="16.2" thickBot="1" x14ac:dyDescent="0.3">
      <c r="B98" s="399" t="s">
        <v>242</v>
      </c>
      <c r="G98" s="434">
        <f>SUM(G90:G96)</f>
        <v>18432340</v>
      </c>
    </row>
    <row r="99" spans="2:7" ht="15.6" thickTop="1" x14ac:dyDescent="0.25"/>
  </sheetData>
  <mergeCells count="1">
    <mergeCell ref="D89:E89"/>
  </mergeCells>
  <printOptions horizontalCentered="1"/>
  <pageMargins left="0.31496062992126" right="0.39370078740157499" top="0.39370078740157499" bottom="0.27559055118110198" header="0.27559055118110198" footer="0.196850393700787"/>
  <pageSetup paperSize="9" scale="47" firstPageNumber="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zoomScaleNormal="100" zoomScaleSheetLayoutView="80" workbookViewId="0">
      <selection activeCell="E19" sqref="E19"/>
    </sheetView>
  </sheetViews>
  <sheetFormatPr defaultColWidth="8.6640625" defaultRowHeight="13.2" x14ac:dyDescent="0.25"/>
  <cols>
    <col min="1" max="1" width="9.6640625" style="1" customWidth="1"/>
    <col min="2" max="2" width="22.44140625" style="1" customWidth="1"/>
    <col min="3" max="3" width="25.109375" style="1" customWidth="1"/>
    <col min="4" max="5" width="20" style="1" customWidth="1"/>
    <col min="6" max="6" width="13" style="1" customWidth="1"/>
    <col min="7" max="7" width="10.88671875" style="1" customWidth="1"/>
    <col min="8" max="8" width="11.33203125" style="1" customWidth="1"/>
    <col min="9" max="9" width="19.33203125" style="1" hidden="1" customWidth="1"/>
    <col min="10" max="10" width="10.5546875" style="110" hidden="1" customWidth="1"/>
    <col min="11" max="11" width="0" style="1" hidden="1" customWidth="1"/>
    <col min="12" max="16384" width="8.6640625" style="1"/>
  </cols>
  <sheetData>
    <row r="1" spans="1:13" ht="35.4" customHeight="1" thickBot="1" x14ac:dyDescent="0.3">
      <c r="A1" s="215" t="s">
        <v>169</v>
      </c>
      <c r="B1" s="215"/>
      <c r="C1" s="215"/>
      <c r="D1" s="215"/>
      <c r="E1" s="215"/>
      <c r="F1" s="215"/>
      <c r="G1" s="215"/>
      <c r="H1" s="216" t="s">
        <v>172</v>
      </c>
    </row>
    <row r="2" spans="1:13" s="7" customFormat="1" ht="25.5" customHeight="1" thickTop="1" thickBot="1" x14ac:dyDescent="0.3">
      <c r="A2" s="461" t="s">
        <v>26</v>
      </c>
      <c r="B2" s="462"/>
      <c r="C2" s="463"/>
      <c r="D2" s="458">
        <v>43647</v>
      </c>
      <c r="E2" s="459"/>
      <c r="F2" s="460"/>
      <c r="G2" s="455" t="s">
        <v>51</v>
      </c>
      <c r="H2" s="455" t="s">
        <v>160</v>
      </c>
      <c r="I2" s="467" t="s">
        <v>56</v>
      </c>
      <c r="J2" s="470" t="s">
        <v>58</v>
      </c>
      <c r="K2" s="4"/>
      <c r="L2" s="5"/>
      <c r="M2" s="6"/>
    </row>
    <row r="3" spans="1:13" s="7" customFormat="1" ht="22.2" customHeight="1" thickTop="1" thickBot="1" x14ac:dyDescent="0.3">
      <c r="A3" s="464"/>
      <c r="B3" s="465"/>
      <c r="C3" s="466"/>
      <c r="D3" s="360" t="s">
        <v>27</v>
      </c>
      <c r="E3" s="360" t="s">
        <v>28</v>
      </c>
      <c r="F3" s="360" t="s">
        <v>29</v>
      </c>
      <c r="G3" s="456"/>
      <c r="H3" s="456"/>
      <c r="I3" s="468"/>
      <c r="J3" s="471"/>
      <c r="K3" s="4"/>
      <c r="L3" s="5"/>
      <c r="M3" s="6"/>
    </row>
    <row r="4" spans="1:13" s="7" customFormat="1" ht="16.8" thickTop="1" thickBot="1" x14ac:dyDescent="0.3">
      <c r="A4" s="350" t="s">
        <v>200</v>
      </c>
      <c r="B4" s="473" t="s">
        <v>165</v>
      </c>
      <c r="C4" s="474"/>
      <c r="D4" s="360" t="s">
        <v>30</v>
      </c>
      <c r="E4" s="360" t="s">
        <v>30</v>
      </c>
      <c r="F4" s="360" t="s">
        <v>30</v>
      </c>
      <c r="G4" s="457"/>
      <c r="H4" s="457"/>
      <c r="I4" s="469"/>
      <c r="J4" s="472"/>
      <c r="K4" s="4"/>
      <c r="L4" s="5"/>
      <c r="M4" s="6"/>
    </row>
    <row r="5" spans="1:13" s="7" customFormat="1" ht="16.2" thickTop="1" thickBot="1" x14ac:dyDescent="0.3">
      <c r="A5" s="8"/>
      <c r="B5" s="9"/>
      <c r="C5" s="10"/>
      <c r="D5" s="11"/>
      <c r="E5" s="11"/>
      <c r="F5" s="11"/>
      <c r="G5" s="12"/>
      <c r="H5" s="12"/>
      <c r="I5" s="18"/>
      <c r="J5" s="111"/>
      <c r="K5" s="4"/>
      <c r="L5" s="5"/>
      <c r="M5" s="6"/>
    </row>
    <row r="6" spans="1:13" s="7" customFormat="1" ht="16.2" thickTop="1" thickBot="1" x14ac:dyDescent="0.3">
      <c r="A6" s="8" t="s">
        <v>31</v>
      </c>
      <c r="B6" s="451" t="s">
        <v>52</v>
      </c>
      <c r="C6" s="452"/>
      <c r="D6" s="351">
        <f>Projects!G42</f>
        <v>1000000</v>
      </c>
      <c r="E6" s="352">
        <f>Projects!O42</f>
        <v>0</v>
      </c>
      <c r="F6" s="361">
        <f t="shared" ref="F6:F15" si="0">IFERROR((E6/D6),0)</f>
        <v>0</v>
      </c>
      <c r="G6" s="15" t="s">
        <v>20</v>
      </c>
      <c r="H6" s="349">
        <f t="shared" ref="H6:H14" si="1">100%-F6</f>
        <v>1</v>
      </c>
      <c r="J6" s="111"/>
      <c r="K6" s="18"/>
      <c r="L6" s="5"/>
      <c r="M6" s="6"/>
    </row>
    <row r="7" spans="1:13" s="65" customFormat="1" ht="16.2" thickTop="1" thickBot="1" x14ac:dyDescent="0.3">
      <c r="A7" s="8" t="s">
        <v>32</v>
      </c>
      <c r="B7" s="451" t="s">
        <v>33</v>
      </c>
      <c r="C7" s="452"/>
      <c r="D7" s="351">
        <f>Projects!G56+Projects!G47</f>
        <v>336640</v>
      </c>
      <c r="E7" s="352">
        <f>Projects!O56</f>
        <v>0</v>
      </c>
      <c r="F7" s="361">
        <f t="shared" si="0"/>
        <v>0</v>
      </c>
      <c r="G7" s="15" t="s">
        <v>13</v>
      </c>
      <c r="H7" s="349">
        <f t="shared" si="1"/>
        <v>1</v>
      </c>
      <c r="I7" s="24"/>
      <c r="J7" s="111"/>
      <c r="K7" s="207"/>
      <c r="L7" s="208"/>
      <c r="M7" s="209"/>
    </row>
    <row r="8" spans="1:13" s="65" customFormat="1" ht="16.2" thickTop="1" thickBot="1" x14ac:dyDescent="0.3">
      <c r="A8" s="8" t="s">
        <v>34</v>
      </c>
      <c r="B8" s="451" t="s">
        <v>35</v>
      </c>
      <c r="C8" s="452"/>
      <c r="D8" s="351">
        <f>Projects!G52-Projects!G38-Projects!G47-Projects!G42</f>
        <v>6772000</v>
      </c>
      <c r="E8" s="352">
        <v>0</v>
      </c>
      <c r="F8" s="361">
        <f t="shared" si="0"/>
        <v>0</v>
      </c>
      <c r="G8" s="15" t="s">
        <v>53</v>
      </c>
      <c r="H8" s="349">
        <f t="shared" si="1"/>
        <v>1</v>
      </c>
      <c r="I8" s="25"/>
      <c r="J8" s="111"/>
      <c r="K8" s="207"/>
      <c r="L8" s="208"/>
      <c r="M8" s="209"/>
    </row>
    <row r="9" spans="1:13" s="65" customFormat="1" ht="16.2" thickTop="1" thickBot="1" x14ac:dyDescent="0.3">
      <c r="A9" s="8" t="s">
        <v>36</v>
      </c>
      <c r="B9" s="451" t="s">
        <v>37</v>
      </c>
      <c r="C9" s="452"/>
      <c r="D9" s="351">
        <f>Projects!G31-Projects!G30</f>
        <v>1550000</v>
      </c>
      <c r="E9" s="352">
        <f>Projects!O31</f>
        <v>0</v>
      </c>
      <c r="F9" s="361">
        <f t="shared" si="0"/>
        <v>0</v>
      </c>
      <c r="G9" s="15" t="s">
        <v>8</v>
      </c>
      <c r="H9" s="349">
        <f t="shared" si="1"/>
        <v>1</v>
      </c>
      <c r="I9" s="24"/>
      <c r="J9" s="220" t="s">
        <v>195</v>
      </c>
      <c r="K9" s="207"/>
      <c r="L9" s="208"/>
      <c r="M9" s="209"/>
    </row>
    <row r="10" spans="1:13" s="65" customFormat="1" ht="16.2" thickTop="1" thickBot="1" x14ac:dyDescent="0.3">
      <c r="A10" s="8" t="s">
        <v>38</v>
      </c>
      <c r="B10" s="451" t="s">
        <v>39</v>
      </c>
      <c r="C10" s="452"/>
      <c r="D10" s="351">
        <f>Projects!G39+Projects!G38</f>
        <v>3287000</v>
      </c>
      <c r="E10" s="352">
        <v>0</v>
      </c>
      <c r="F10" s="361">
        <f t="shared" si="0"/>
        <v>0</v>
      </c>
      <c r="G10" s="15" t="s">
        <v>6</v>
      </c>
      <c r="H10" s="349">
        <f t="shared" si="1"/>
        <v>1</v>
      </c>
      <c r="I10" s="25"/>
      <c r="J10" s="111"/>
      <c r="K10" s="207"/>
      <c r="L10" s="208"/>
      <c r="M10" s="209"/>
    </row>
    <row r="11" spans="1:13" s="65" customFormat="1" ht="16.2" thickTop="1" thickBot="1" x14ac:dyDescent="0.3">
      <c r="A11" s="8" t="s">
        <v>40</v>
      </c>
      <c r="B11" s="451" t="s">
        <v>41</v>
      </c>
      <c r="C11" s="452"/>
      <c r="D11" s="353">
        <f>Projects!G55</f>
        <v>1836700</v>
      </c>
      <c r="E11" s="352">
        <f>Projects!O55+Projects!O57</f>
        <v>0</v>
      </c>
      <c r="F11" s="361">
        <f t="shared" si="0"/>
        <v>0</v>
      </c>
      <c r="G11" s="15" t="s">
        <v>10</v>
      </c>
      <c r="H11" s="349">
        <f t="shared" si="1"/>
        <v>1</v>
      </c>
      <c r="I11" s="25"/>
      <c r="J11" s="111"/>
      <c r="K11" s="207"/>
      <c r="L11" s="208"/>
      <c r="M11" s="209"/>
    </row>
    <row r="12" spans="1:13" s="65" customFormat="1" ht="16.2" thickTop="1" thickBot="1" x14ac:dyDescent="0.3">
      <c r="A12" s="8" t="s">
        <v>42</v>
      </c>
      <c r="B12" s="451" t="s">
        <v>43</v>
      </c>
      <c r="C12" s="452"/>
      <c r="D12" s="353">
        <v>0</v>
      </c>
      <c r="E12" s="352">
        <v>0</v>
      </c>
      <c r="F12" s="361">
        <f t="shared" si="0"/>
        <v>0</v>
      </c>
      <c r="G12" s="15" t="s">
        <v>15</v>
      </c>
      <c r="H12" s="349">
        <v>0</v>
      </c>
      <c r="J12" s="111"/>
      <c r="K12" s="207"/>
      <c r="L12" s="208"/>
      <c r="M12" s="209"/>
    </row>
    <row r="13" spans="1:13" s="65" customFormat="1" ht="16.2" thickTop="1" thickBot="1" x14ac:dyDescent="0.3">
      <c r="A13" s="8" t="s">
        <v>44</v>
      </c>
      <c r="B13" s="13" t="s">
        <v>49</v>
      </c>
      <c r="C13" s="14"/>
      <c r="D13" s="354">
        <f>+Projects!G18</f>
        <v>2850000</v>
      </c>
      <c r="E13" s="352">
        <v>0</v>
      </c>
      <c r="F13" s="361">
        <f>IFERROR((E13/D13),0)</f>
        <v>0</v>
      </c>
      <c r="G13" s="15" t="s">
        <v>13</v>
      </c>
      <c r="H13" s="349">
        <v>0</v>
      </c>
      <c r="I13" s="24"/>
      <c r="J13" s="111"/>
      <c r="K13" s="207"/>
      <c r="L13" s="208"/>
      <c r="M13" s="209"/>
    </row>
    <row r="14" spans="1:13" s="7" customFormat="1" ht="16.2" thickTop="1" thickBot="1" x14ac:dyDescent="0.3">
      <c r="A14" s="8" t="s">
        <v>45</v>
      </c>
      <c r="B14" s="13" t="s">
        <v>50</v>
      </c>
      <c r="C14" s="14"/>
      <c r="D14" s="355">
        <f>Projects!G12</f>
        <v>800000</v>
      </c>
      <c r="E14" s="352">
        <v>0</v>
      </c>
      <c r="F14" s="361">
        <f t="shared" si="0"/>
        <v>0</v>
      </c>
      <c r="G14" s="15" t="s">
        <v>15</v>
      </c>
      <c r="H14" s="349">
        <f t="shared" si="1"/>
        <v>1</v>
      </c>
      <c r="J14" s="111"/>
      <c r="K14" s="206"/>
      <c r="L14" s="5"/>
      <c r="M14" s="6"/>
    </row>
    <row r="15" spans="1:13" s="7" customFormat="1" ht="16.2" thickTop="1" thickBot="1" x14ac:dyDescent="0.3">
      <c r="A15" s="8" t="s">
        <v>46</v>
      </c>
      <c r="B15" s="13" t="s">
        <v>47</v>
      </c>
      <c r="C15" s="14"/>
      <c r="D15" s="356">
        <f>Projects!G30</f>
        <v>0</v>
      </c>
      <c r="E15" s="352">
        <v>0</v>
      </c>
      <c r="F15" s="361">
        <f t="shared" si="0"/>
        <v>0</v>
      </c>
      <c r="G15" s="15" t="s">
        <v>6</v>
      </c>
      <c r="H15" s="349">
        <v>0</v>
      </c>
      <c r="J15" s="111"/>
      <c r="K15" s="206"/>
      <c r="L15" s="5"/>
      <c r="M15" s="6"/>
    </row>
    <row r="16" spans="1:13" s="18" customFormat="1" ht="16.8" thickTop="1" thickBot="1" x14ac:dyDescent="0.3">
      <c r="A16" s="16"/>
      <c r="B16" s="453" t="s">
        <v>48</v>
      </c>
      <c r="C16" s="454"/>
      <c r="D16" s="357">
        <f>SUM(D6:D15)</f>
        <v>18432340</v>
      </c>
      <c r="E16" s="357">
        <f>SUM(E6:E15)</f>
        <v>0</v>
      </c>
      <c r="F16" s="362">
        <f>(E16/D16)</f>
        <v>0</v>
      </c>
      <c r="G16" s="358"/>
      <c r="H16" s="359">
        <f>100%-F16</f>
        <v>1</v>
      </c>
      <c r="J16" s="110"/>
      <c r="K16" s="4"/>
      <c r="L16" s="5"/>
      <c r="M16" s="17"/>
    </row>
    <row r="17" spans="1:13" s="7" customFormat="1" ht="13.8" thickTop="1" x14ac:dyDescent="0.25">
      <c r="A17" s="19"/>
      <c r="C17" s="19"/>
      <c r="E17" s="20"/>
      <c r="G17" s="21"/>
      <c r="H17" s="21"/>
      <c r="I17" s="2"/>
      <c r="J17" s="111"/>
      <c r="K17" s="4"/>
      <c r="L17" s="5"/>
      <c r="M17" s="6"/>
    </row>
    <row r="18" spans="1:13" x14ac:dyDescent="0.25">
      <c r="B18" s="212" t="s">
        <v>173</v>
      </c>
      <c r="G18" s="22"/>
      <c r="H18" s="22"/>
    </row>
    <row r="19" spans="1:13" x14ac:dyDescent="0.25">
      <c r="I19" s="23"/>
    </row>
  </sheetData>
  <mergeCells count="15">
    <mergeCell ref="I2:I4"/>
    <mergeCell ref="G2:G4"/>
    <mergeCell ref="J2:J4"/>
    <mergeCell ref="B7:C7"/>
    <mergeCell ref="B11:C11"/>
    <mergeCell ref="B4:C4"/>
    <mergeCell ref="B12:C12"/>
    <mergeCell ref="B16:C16"/>
    <mergeCell ref="H2:H4"/>
    <mergeCell ref="B6:C6"/>
    <mergeCell ref="D2:F2"/>
    <mergeCell ref="B8:C8"/>
    <mergeCell ref="B9:C9"/>
    <mergeCell ref="B10:C10"/>
    <mergeCell ref="A2:C3"/>
  </mergeCells>
  <pageMargins left="0.94488188976377963" right="0.35433070866141736" top="0.51181102362204722" bottom="0.39370078740157483" header="0.23622047244094491" footer="0.23622047244094491"/>
  <pageSetup paperSize="9" orientation="landscape"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Rollover</vt:lpstr>
      <vt:lpstr>Projects</vt:lpstr>
      <vt:lpstr>SDBIP</vt:lpstr>
      <vt:lpstr>Projects!Print_Area</vt:lpstr>
      <vt:lpstr>Rollover!Print_Area</vt:lpstr>
      <vt:lpstr>SDBIP!Print_Area</vt:lpstr>
      <vt:lpstr>Projects!Print_Titles</vt:lpstr>
      <vt:lpstr>Rollover!Print_Titles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dc:creator>
  <cp:lastModifiedBy>Gladwin Tloubatla</cp:lastModifiedBy>
  <cp:revision>1</cp:revision>
  <cp:lastPrinted>2019-05-20T10:46:08Z</cp:lastPrinted>
  <dcterms:created xsi:type="dcterms:W3CDTF">2004-11-04T12:33:28Z</dcterms:created>
  <dcterms:modified xsi:type="dcterms:W3CDTF">2019-05-27T11:43:33Z</dcterms:modified>
</cp:coreProperties>
</file>